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Mon Drive\Une gamelle au top\Calculateurs\__ LIVRAISON __\_ TMP _\"/>
    </mc:Choice>
  </mc:AlternateContent>
  <xr:revisionPtr revIDLastSave="0" documentId="8_{7C710D8C-A53D-414C-A44C-5FE71A0A468D}" xr6:coauthVersionLast="47" xr6:coauthVersionMax="47" xr10:uidLastSave="{00000000-0000-0000-0000-000000000000}"/>
  <bookViews>
    <workbookView xWindow="-118" yWindow="-118" windowWidth="25370" windowHeight="13667" xr2:uid="{2E3BD763-B105-40BE-8D2A-FCEFFE076BE3}"/>
  </bookViews>
  <sheets>
    <sheet name="RM CHIEN - Unegamelleautop.fr" sheetId="13" r:id="rId1"/>
    <sheet name="CTRL" sheetId="10" state="hidden" r:id="rId2"/>
    <sheet name="CMV" sheetId="11" state="hidden" r:id="rId3"/>
    <sheet name="HLS" sheetId="4" state="hidden" r:id="rId4"/>
    <sheet name="LGS" sheetId="5" state="hidden" r:id="rId5"/>
    <sheet name="FCS" sheetId="6" state="hidden" r:id="rId6"/>
    <sheet name="VDS" sheetId="7" state="hidden" r:id="rId7"/>
    <sheet name="OPT1" sheetId="8" state="hidden" r:id="rId8"/>
    <sheet name="OPT2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65" i="13" l="1"/>
  <c r="W41" i="7"/>
  <c r="BS12" i="13"/>
  <c r="T11" i="4"/>
  <c r="X41" i="7"/>
  <c r="BT12" i="13"/>
  <c r="V41" i="7"/>
  <c r="Y31" i="13"/>
  <c r="E19" i="13"/>
  <c r="BL5" i="13"/>
  <c r="BL4" i="13"/>
  <c r="AU66" i="13"/>
  <c r="CG70" i="13"/>
  <c r="CG69" i="13"/>
  <c r="CG68" i="13"/>
  <c r="CG67" i="13"/>
  <c r="CG66" i="13"/>
  <c r="CG65" i="13"/>
  <c r="CG64" i="13"/>
  <c r="CG63" i="13"/>
  <c r="CG62" i="13"/>
  <c r="CG61" i="13"/>
  <c r="CG60" i="13"/>
  <c r="CG59" i="13"/>
  <c r="CG58" i="13"/>
  <c r="CG57" i="13"/>
  <c r="CG56" i="13"/>
  <c r="CG55" i="13"/>
  <c r="CG54" i="13"/>
  <c r="CG53" i="13"/>
  <c r="CG52" i="13"/>
  <c r="CG51" i="13"/>
  <c r="CG50" i="13"/>
  <c r="CG49" i="13"/>
  <c r="CG48" i="13"/>
  <c r="CG47" i="13"/>
  <c r="AK9" i="13"/>
  <c r="AL28" i="13"/>
  <c r="AH28" i="13"/>
  <c r="AG28" i="13"/>
  <c r="AF28" i="13"/>
  <c r="AE28" i="13"/>
  <c r="Z36" i="13"/>
  <c r="AM93" i="13"/>
  <c r="BP69" i="13"/>
  <c r="BP68" i="13"/>
  <c r="BP67" i="13"/>
  <c r="AF58" i="13"/>
  <c r="AI60" i="13" s="1"/>
  <c r="AQ47" i="13"/>
  <c r="AQ55" i="13"/>
  <c r="AE49" i="13"/>
  <c r="AE47" i="13"/>
  <c r="AJ11" i="13"/>
  <c r="E20" i="13"/>
  <c r="AN57" i="13"/>
  <c r="AO57" i="13"/>
  <c r="E23" i="13"/>
  <c r="AA44" i="13"/>
  <c r="E21" i="13"/>
  <c r="BJ31" i="13" s="1"/>
  <c r="BT13" i="13"/>
  <c r="X40" i="7"/>
  <c r="W40" i="7"/>
  <c r="V40" i="7"/>
  <c r="X39" i="7"/>
  <c r="W39" i="7"/>
  <c r="V39" i="7"/>
  <c r="X38" i="7"/>
  <c r="W38" i="7"/>
  <c r="V38" i="7"/>
  <c r="BR12" i="13"/>
  <c r="X37" i="7"/>
  <c r="W37" i="7"/>
  <c r="V37" i="7"/>
  <c r="X36" i="7"/>
  <c r="W36" i="7"/>
  <c r="V36" i="7"/>
  <c r="X35" i="7"/>
  <c r="W35" i="7"/>
  <c r="V35" i="7"/>
  <c r="X34" i="7"/>
  <c r="W34" i="7"/>
  <c r="V34" i="7"/>
  <c r="X33" i="7"/>
  <c r="W33" i="7"/>
  <c r="V33" i="7"/>
  <c r="T33" i="7"/>
  <c r="X32" i="7"/>
  <c r="W32" i="7"/>
  <c r="V32" i="7"/>
  <c r="T32" i="7"/>
  <c r="X29" i="7"/>
  <c r="W29" i="7"/>
  <c r="X28" i="7"/>
  <c r="W28" i="7"/>
  <c r="V29" i="7"/>
  <c r="V28" i="7"/>
  <c r="V30" i="7"/>
  <c r="W30" i="7"/>
  <c r="X30" i="7"/>
  <c r="V31" i="7"/>
  <c r="W31" i="7"/>
  <c r="X31" i="7"/>
  <c r="X27" i="7"/>
  <c r="W27" i="7"/>
  <c r="V27" i="7"/>
  <c r="X26" i="7"/>
  <c r="W26" i="7"/>
  <c r="V26" i="7"/>
  <c r="DK101" i="13"/>
  <c r="DK100" i="13"/>
  <c r="DK99" i="13"/>
  <c r="DK98" i="13"/>
  <c r="DK97" i="13"/>
  <c r="DK96" i="13"/>
  <c r="DK95" i="13"/>
  <c r="DK94" i="13"/>
  <c r="DK93" i="13"/>
  <c r="DK92" i="13"/>
  <c r="DK91" i="13"/>
  <c r="DK90" i="13"/>
  <c r="DK89" i="13"/>
  <c r="DK88" i="13"/>
  <c r="DK87" i="13"/>
  <c r="DK86" i="13"/>
  <c r="DK85" i="13"/>
  <c r="DK84" i="13"/>
  <c r="DK83" i="13"/>
  <c r="DK82" i="13"/>
  <c r="DK81" i="13"/>
  <c r="DK80" i="13"/>
  <c r="DK79" i="13"/>
  <c r="DK78" i="13"/>
  <c r="DK77" i="13"/>
  <c r="DK76" i="13"/>
  <c r="DK75" i="13"/>
  <c r="DK74" i="13"/>
  <c r="DK73" i="13"/>
  <c r="DK72" i="13"/>
  <c r="DK71" i="13"/>
  <c r="DK70" i="13"/>
  <c r="DK69" i="13"/>
  <c r="DK68" i="13"/>
  <c r="DK67" i="13"/>
  <c r="DK66" i="13"/>
  <c r="DK65" i="13"/>
  <c r="DK64" i="13"/>
  <c r="DK63" i="13"/>
  <c r="DK62" i="13"/>
  <c r="DK61" i="13"/>
  <c r="DK60" i="13"/>
  <c r="DK59" i="13"/>
  <c r="AF52" i="13"/>
  <c r="AF50" i="13"/>
  <c r="AF49" i="13"/>
  <c r="AF54" i="13" s="1"/>
  <c r="AE50" i="13" s="1"/>
  <c r="AF51" i="13"/>
  <c r="AF53" i="13"/>
  <c r="E25" i="13"/>
  <c r="L48" i="13"/>
  <c r="BP58" i="13"/>
  <c r="BP57" i="13"/>
  <c r="BP56" i="13"/>
  <c r="BP55" i="13"/>
  <c r="BP54" i="13"/>
  <c r="BP53" i="13"/>
  <c r="BP52" i="13"/>
  <c r="BP51" i="13"/>
  <c r="BP50" i="13"/>
  <c r="BP49" i="13"/>
  <c r="BP48" i="13"/>
  <c r="X102" i="13"/>
  <c r="X103" i="13"/>
  <c r="K9" i="13"/>
  <c r="W2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2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V2" i="7"/>
  <c r="BP47" i="13"/>
  <c r="BP45" i="13"/>
  <c r="BP43" i="13"/>
  <c r="BP44" i="13"/>
  <c r="BP46" i="13"/>
  <c r="DN101" i="13"/>
  <c r="DM101" i="13"/>
  <c r="DN100" i="13"/>
  <c r="DM100" i="13"/>
  <c r="DN99" i="13"/>
  <c r="DM99" i="13"/>
  <c r="DN98" i="13"/>
  <c r="DM98" i="13"/>
  <c r="DN97" i="13"/>
  <c r="DM97" i="13"/>
  <c r="DN96" i="13"/>
  <c r="DM96" i="13"/>
  <c r="DN95" i="13"/>
  <c r="DM95" i="13"/>
  <c r="DN94" i="13"/>
  <c r="DM94" i="13"/>
  <c r="DN93" i="13"/>
  <c r="DM93" i="13"/>
  <c r="DN92" i="13"/>
  <c r="DM92" i="13"/>
  <c r="DN91" i="13"/>
  <c r="DM91" i="13"/>
  <c r="DN90" i="13"/>
  <c r="DM90" i="13"/>
  <c r="DN89" i="13"/>
  <c r="DM89" i="13"/>
  <c r="DN88" i="13"/>
  <c r="DM88" i="13"/>
  <c r="DN87" i="13"/>
  <c r="DM87" i="13"/>
  <c r="DN86" i="13"/>
  <c r="DM86" i="13"/>
  <c r="DN85" i="13"/>
  <c r="DM85" i="13"/>
  <c r="DN84" i="13"/>
  <c r="DM84" i="13"/>
  <c r="DN83" i="13"/>
  <c r="DM83" i="13"/>
  <c r="DN82" i="13"/>
  <c r="DM82" i="13"/>
  <c r="DN81" i="13"/>
  <c r="DM81" i="13"/>
  <c r="DN80" i="13"/>
  <c r="DM80" i="13"/>
  <c r="DN79" i="13"/>
  <c r="DM79" i="13"/>
  <c r="DN78" i="13"/>
  <c r="DM78" i="13"/>
  <c r="DN77" i="13"/>
  <c r="DM77" i="13"/>
  <c r="DN76" i="13"/>
  <c r="DM76" i="13"/>
  <c r="DN75" i="13"/>
  <c r="DM75" i="13"/>
  <c r="DN74" i="13"/>
  <c r="DM74" i="13"/>
  <c r="DN73" i="13"/>
  <c r="DM73" i="13"/>
  <c r="DN72" i="13"/>
  <c r="DM72" i="13"/>
  <c r="DN71" i="13"/>
  <c r="DM71" i="13"/>
  <c r="DN70" i="13"/>
  <c r="DM70" i="13"/>
  <c r="DN69" i="13"/>
  <c r="DM69" i="13"/>
  <c r="DN68" i="13"/>
  <c r="DM68" i="13"/>
  <c r="DN67" i="13"/>
  <c r="DM67" i="13"/>
  <c r="DN66" i="13"/>
  <c r="DM66" i="13"/>
  <c r="DN65" i="13"/>
  <c r="DM65" i="13"/>
  <c r="DN64" i="13"/>
  <c r="DM64" i="13"/>
  <c r="DN63" i="13"/>
  <c r="DM63" i="13"/>
  <c r="DN62" i="13"/>
  <c r="DM62" i="13"/>
  <c r="DN61" i="13"/>
  <c r="DM61" i="13"/>
  <c r="DN60" i="13"/>
  <c r="DM60" i="13"/>
  <c r="DN59" i="13"/>
  <c r="DM59" i="13"/>
  <c r="DN58" i="13"/>
  <c r="DM58" i="13"/>
  <c r="DN57" i="13"/>
  <c r="DM57" i="13"/>
  <c r="DN56" i="13"/>
  <c r="DM56" i="13"/>
  <c r="DN55" i="13"/>
  <c r="DM55" i="13"/>
  <c r="DN54" i="13"/>
  <c r="DM54" i="13"/>
  <c r="DN53" i="13"/>
  <c r="DM53" i="13"/>
  <c r="DN52" i="13"/>
  <c r="DM52" i="13"/>
  <c r="DN51" i="13"/>
  <c r="DM51" i="13"/>
  <c r="DN50" i="13"/>
  <c r="DM50" i="13"/>
  <c r="DN49" i="13"/>
  <c r="DM49" i="13"/>
  <c r="DN48" i="13"/>
  <c r="DM48" i="13"/>
  <c r="DN47" i="13"/>
  <c r="DM47" i="13"/>
  <c r="DN46" i="13"/>
  <c r="DM46" i="13"/>
  <c r="DN45" i="13"/>
  <c r="DM45" i="13"/>
  <c r="DN44" i="13"/>
  <c r="DM44" i="13"/>
  <c r="DN43" i="13"/>
  <c r="DM43" i="13"/>
  <c r="DN42" i="13"/>
  <c r="DM42" i="13"/>
  <c r="DN41" i="13"/>
  <c r="DM41" i="13"/>
  <c r="DN40" i="13"/>
  <c r="DM40" i="13"/>
  <c r="DN39" i="13"/>
  <c r="DM39" i="13"/>
  <c r="DN38" i="13"/>
  <c r="DM38" i="13"/>
  <c r="DN37" i="13"/>
  <c r="DM37" i="13"/>
  <c r="DN36" i="13"/>
  <c r="DM36" i="13"/>
  <c r="DN35" i="13"/>
  <c r="DM35" i="13"/>
  <c r="DN34" i="13"/>
  <c r="DM34" i="13"/>
  <c r="DN33" i="13"/>
  <c r="DM33" i="13"/>
  <c r="DN32" i="13"/>
  <c r="DM32" i="13"/>
  <c r="DN31" i="13"/>
  <c r="DM31" i="13"/>
  <c r="DN30" i="13"/>
  <c r="DM30" i="13"/>
  <c r="DN29" i="13"/>
  <c r="DM29" i="13"/>
  <c r="DN28" i="13"/>
  <c r="DM28" i="13"/>
  <c r="DN27" i="13"/>
  <c r="DM27" i="13"/>
  <c r="DN26" i="13"/>
  <c r="DM26" i="13"/>
  <c r="DN25" i="13"/>
  <c r="DM25" i="13"/>
  <c r="DN24" i="13"/>
  <c r="DM24" i="13"/>
  <c r="DN23" i="13"/>
  <c r="DM23" i="13"/>
  <c r="DN22" i="13"/>
  <c r="DM22" i="13"/>
  <c r="DN21" i="13"/>
  <c r="DM21" i="13"/>
  <c r="DN20" i="13"/>
  <c r="DM20" i="13"/>
  <c r="DN19" i="13"/>
  <c r="DM19" i="13"/>
  <c r="DN18" i="13"/>
  <c r="DM18" i="13"/>
  <c r="DN17" i="13"/>
  <c r="DM17" i="13"/>
  <c r="DN16" i="13"/>
  <c r="DM16" i="13"/>
  <c r="DN15" i="13"/>
  <c r="DM15" i="13"/>
  <c r="DN14" i="13"/>
  <c r="DM14" i="13"/>
  <c r="DN13" i="13"/>
  <c r="DM13" i="13"/>
  <c r="DN12" i="13"/>
  <c r="DM12" i="13"/>
  <c r="DN11" i="13"/>
  <c r="DM11" i="13"/>
  <c r="DN10" i="13"/>
  <c r="DM10" i="13"/>
  <c r="DN9" i="13"/>
  <c r="DM9" i="13"/>
  <c r="DN8" i="13"/>
  <c r="DM8" i="13"/>
  <c r="DN7" i="13"/>
  <c r="DM7" i="13"/>
  <c r="DN6" i="13"/>
  <c r="DM6" i="13"/>
  <c r="DN5" i="13"/>
  <c r="DM5" i="13"/>
  <c r="DN4" i="13"/>
  <c r="DM4" i="13"/>
  <c r="DN3" i="13"/>
  <c r="W57" i="13"/>
  <c r="AP33" i="13" s="1"/>
  <c r="DM3" i="13"/>
  <c r="W61" i="13"/>
  <c r="W64" i="13" s="1"/>
  <c r="DJ101" i="13"/>
  <c r="DI101" i="13"/>
  <c r="DH101" i="13"/>
  <c r="DJ100" i="13"/>
  <c r="DI100" i="13"/>
  <c r="DH100" i="13"/>
  <c r="DJ99" i="13"/>
  <c r="DI99" i="13"/>
  <c r="DH99" i="13"/>
  <c r="DJ98" i="13"/>
  <c r="DI98" i="13"/>
  <c r="DH98" i="13"/>
  <c r="DJ97" i="13"/>
  <c r="DI97" i="13"/>
  <c r="DH97" i="13"/>
  <c r="DJ96" i="13"/>
  <c r="DI96" i="13"/>
  <c r="DH96" i="13"/>
  <c r="DJ95" i="13"/>
  <c r="DI95" i="13"/>
  <c r="DH95" i="13"/>
  <c r="DJ94" i="13"/>
  <c r="DI94" i="13"/>
  <c r="DH94" i="13"/>
  <c r="DJ93" i="13"/>
  <c r="DI93" i="13"/>
  <c r="DH93" i="13"/>
  <c r="DJ92" i="13"/>
  <c r="DI92" i="13"/>
  <c r="DH92" i="13"/>
  <c r="DJ91" i="13"/>
  <c r="DI91" i="13"/>
  <c r="DH91" i="13"/>
  <c r="DJ90" i="13"/>
  <c r="DI90" i="13"/>
  <c r="DH90" i="13"/>
  <c r="DJ89" i="13"/>
  <c r="DI89" i="13"/>
  <c r="DH89" i="13"/>
  <c r="DJ88" i="13"/>
  <c r="DI88" i="13"/>
  <c r="DH88" i="13"/>
  <c r="DJ87" i="13"/>
  <c r="DI87" i="13"/>
  <c r="DH87" i="13"/>
  <c r="DJ86" i="13"/>
  <c r="DI86" i="13"/>
  <c r="DH86" i="13"/>
  <c r="DJ85" i="13"/>
  <c r="DI85" i="13"/>
  <c r="DH85" i="13"/>
  <c r="DJ84" i="13"/>
  <c r="DI84" i="13"/>
  <c r="DH84" i="13"/>
  <c r="DJ83" i="13"/>
  <c r="DI83" i="13"/>
  <c r="DH83" i="13"/>
  <c r="DJ82" i="13"/>
  <c r="DI82" i="13"/>
  <c r="DH82" i="13"/>
  <c r="DJ81" i="13"/>
  <c r="DI81" i="13"/>
  <c r="DH81" i="13"/>
  <c r="DJ80" i="13"/>
  <c r="DI80" i="13"/>
  <c r="DH80" i="13"/>
  <c r="DJ79" i="13"/>
  <c r="DI79" i="13"/>
  <c r="DH79" i="13"/>
  <c r="DJ78" i="13"/>
  <c r="DI78" i="13"/>
  <c r="DH78" i="13"/>
  <c r="DJ77" i="13"/>
  <c r="DI77" i="13"/>
  <c r="DH77" i="13"/>
  <c r="DJ76" i="13"/>
  <c r="DI76" i="13"/>
  <c r="DH76" i="13"/>
  <c r="DJ75" i="13"/>
  <c r="DI75" i="13"/>
  <c r="DH75" i="13"/>
  <c r="DJ74" i="13"/>
  <c r="DI74" i="13"/>
  <c r="DH74" i="13"/>
  <c r="DJ73" i="13"/>
  <c r="DI73" i="13"/>
  <c r="DH73" i="13"/>
  <c r="DJ72" i="13"/>
  <c r="DI72" i="13"/>
  <c r="DH72" i="13"/>
  <c r="DJ71" i="13"/>
  <c r="DI71" i="13"/>
  <c r="DH71" i="13"/>
  <c r="DJ70" i="13"/>
  <c r="DI70" i="13"/>
  <c r="DH70" i="13"/>
  <c r="DJ69" i="13"/>
  <c r="DI69" i="13"/>
  <c r="DH69" i="13"/>
  <c r="DJ68" i="13"/>
  <c r="DI68" i="13"/>
  <c r="DH68" i="13"/>
  <c r="DJ67" i="13"/>
  <c r="DI67" i="13"/>
  <c r="DH67" i="13"/>
  <c r="DJ66" i="13"/>
  <c r="DI66" i="13"/>
  <c r="DH66" i="13"/>
  <c r="DJ65" i="13"/>
  <c r="DI65" i="13"/>
  <c r="DH65" i="13"/>
  <c r="DJ64" i="13"/>
  <c r="DI64" i="13"/>
  <c r="DH64" i="13"/>
  <c r="DJ63" i="13"/>
  <c r="DI63" i="13"/>
  <c r="DH63" i="13"/>
  <c r="DJ62" i="13"/>
  <c r="DI62" i="13"/>
  <c r="DH62" i="13"/>
  <c r="DJ61" i="13"/>
  <c r="DI61" i="13"/>
  <c r="DH61" i="13"/>
  <c r="DJ60" i="13"/>
  <c r="DI60" i="13"/>
  <c r="DH60" i="13"/>
  <c r="DJ59" i="13"/>
  <c r="DI59" i="13"/>
  <c r="DH59" i="13"/>
  <c r="DK58" i="13"/>
  <c r="DJ58" i="13"/>
  <c r="DI58" i="13"/>
  <c r="DH58" i="13"/>
  <c r="DK57" i="13"/>
  <c r="DJ57" i="13"/>
  <c r="DI57" i="13"/>
  <c r="DH57" i="13"/>
  <c r="DK56" i="13"/>
  <c r="DJ56" i="13"/>
  <c r="DI56" i="13"/>
  <c r="DH56" i="13"/>
  <c r="DK55" i="13"/>
  <c r="DJ55" i="13"/>
  <c r="DI55" i="13"/>
  <c r="DH55" i="13"/>
  <c r="DK54" i="13"/>
  <c r="DJ54" i="13"/>
  <c r="DI54" i="13"/>
  <c r="DH54" i="13"/>
  <c r="DK53" i="13"/>
  <c r="DJ53" i="13"/>
  <c r="DI53" i="13"/>
  <c r="DH53" i="13"/>
  <c r="DK52" i="13"/>
  <c r="DJ52" i="13"/>
  <c r="DI52" i="13"/>
  <c r="DH52" i="13"/>
  <c r="DK51" i="13"/>
  <c r="DJ51" i="13"/>
  <c r="DI51" i="13"/>
  <c r="DH51" i="13"/>
  <c r="DK50" i="13"/>
  <c r="DJ50" i="13"/>
  <c r="DI50" i="13"/>
  <c r="DH50" i="13"/>
  <c r="DK49" i="13"/>
  <c r="DJ49" i="13"/>
  <c r="DI49" i="13"/>
  <c r="DH49" i="13"/>
  <c r="DK48" i="13"/>
  <c r="DJ48" i="13"/>
  <c r="DI48" i="13"/>
  <c r="DH48" i="13"/>
  <c r="DK47" i="13"/>
  <c r="DJ47" i="13"/>
  <c r="DI47" i="13"/>
  <c r="DH47" i="13"/>
  <c r="DK46" i="13"/>
  <c r="DJ46" i="13"/>
  <c r="DI46" i="13"/>
  <c r="DH46" i="13"/>
  <c r="DK45" i="13"/>
  <c r="DJ45" i="13"/>
  <c r="DI45" i="13"/>
  <c r="DH45" i="13"/>
  <c r="DK44" i="13"/>
  <c r="DJ44" i="13"/>
  <c r="DI44" i="13"/>
  <c r="DH44" i="13"/>
  <c r="DK43" i="13"/>
  <c r="DJ43" i="13"/>
  <c r="DI43" i="13"/>
  <c r="DH43" i="13"/>
  <c r="DK42" i="13"/>
  <c r="DJ42" i="13"/>
  <c r="DI42" i="13"/>
  <c r="DH42" i="13"/>
  <c r="DK41" i="13"/>
  <c r="DJ41" i="13"/>
  <c r="DI41" i="13"/>
  <c r="DH41" i="13"/>
  <c r="DK40" i="13"/>
  <c r="DJ40" i="13"/>
  <c r="DI40" i="13"/>
  <c r="DH40" i="13"/>
  <c r="DK39" i="13"/>
  <c r="DJ39" i="13"/>
  <c r="DI39" i="13"/>
  <c r="DH39" i="13"/>
  <c r="DK38" i="13"/>
  <c r="DJ38" i="13"/>
  <c r="DI38" i="13"/>
  <c r="DH38" i="13"/>
  <c r="DK37" i="13"/>
  <c r="DJ37" i="13"/>
  <c r="DI37" i="13"/>
  <c r="DH37" i="13"/>
  <c r="DK36" i="13"/>
  <c r="DJ36" i="13"/>
  <c r="DI36" i="13"/>
  <c r="DH36" i="13"/>
  <c r="DK35" i="13"/>
  <c r="DJ35" i="13"/>
  <c r="DI35" i="13"/>
  <c r="DH35" i="13"/>
  <c r="DK34" i="13"/>
  <c r="DJ34" i="13"/>
  <c r="DI34" i="13"/>
  <c r="DH34" i="13"/>
  <c r="DK33" i="13"/>
  <c r="DJ33" i="13"/>
  <c r="DI33" i="13"/>
  <c r="DH33" i="13"/>
  <c r="DK32" i="13"/>
  <c r="DJ32" i="13"/>
  <c r="DI32" i="13"/>
  <c r="DH32" i="13"/>
  <c r="DK31" i="13"/>
  <c r="DJ31" i="13"/>
  <c r="DI31" i="13"/>
  <c r="DH31" i="13"/>
  <c r="DK30" i="13"/>
  <c r="DJ30" i="13"/>
  <c r="DI30" i="13"/>
  <c r="DH30" i="13"/>
  <c r="DK29" i="13"/>
  <c r="DJ29" i="13"/>
  <c r="DI29" i="13"/>
  <c r="DH29" i="13"/>
  <c r="DK28" i="13"/>
  <c r="DJ28" i="13"/>
  <c r="DI28" i="13"/>
  <c r="DH28" i="13"/>
  <c r="DK27" i="13"/>
  <c r="DJ27" i="13"/>
  <c r="DI27" i="13"/>
  <c r="DH27" i="13"/>
  <c r="DK26" i="13"/>
  <c r="DJ26" i="13"/>
  <c r="DI26" i="13"/>
  <c r="DH26" i="13"/>
  <c r="DK25" i="13"/>
  <c r="DJ25" i="13"/>
  <c r="DI25" i="13"/>
  <c r="DH25" i="13"/>
  <c r="DK24" i="13"/>
  <c r="DJ24" i="13"/>
  <c r="DI24" i="13"/>
  <c r="DH24" i="13"/>
  <c r="DK23" i="13"/>
  <c r="DJ23" i="13"/>
  <c r="DI23" i="13"/>
  <c r="DH23" i="13"/>
  <c r="DK22" i="13"/>
  <c r="DJ22" i="13"/>
  <c r="DI22" i="13"/>
  <c r="DH22" i="13"/>
  <c r="DK21" i="13"/>
  <c r="DJ21" i="13"/>
  <c r="DI21" i="13"/>
  <c r="DH21" i="13"/>
  <c r="DK20" i="13"/>
  <c r="DJ20" i="13"/>
  <c r="DI20" i="13"/>
  <c r="DH20" i="13"/>
  <c r="DK19" i="13"/>
  <c r="DJ19" i="13"/>
  <c r="DI19" i="13"/>
  <c r="DH19" i="13"/>
  <c r="DK18" i="13"/>
  <c r="DJ18" i="13"/>
  <c r="DI18" i="13"/>
  <c r="DH18" i="13"/>
  <c r="DK17" i="13"/>
  <c r="DJ17" i="13"/>
  <c r="DI17" i="13"/>
  <c r="DH17" i="13"/>
  <c r="DK16" i="13"/>
  <c r="DJ16" i="13"/>
  <c r="DI16" i="13"/>
  <c r="DH16" i="13"/>
  <c r="DK15" i="13"/>
  <c r="DJ15" i="13"/>
  <c r="DI15" i="13"/>
  <c r="DH15" i="13"/>
  <c r="DK14" i="13"/>
  <c r="DJ14" i="13"/>
  <c r="DI14" i="13"/>
  <c r="DH14" i="13"/>
  <c r="DK13" i="13"/>
  <c r="DJ13" i="13"/>
  <c r="DI13" i="13"/>
  <c r="DH13" i="13"/>
  <c r="DK12" i="13"/>
  <c r="DJ12" i="13"/>
  <c r="DI12" i="13"/>
  <c r="DH12" i="13"/>
  <c r="DK11" i="13"/>
  <c r="DJ11" i="13"/>
  <c r="DI11" i="13"/>
  <c r="DH11" i="13"/>
  <c r="DK10" i="13"/>
  <c r="DJ10" i="13"/>
  <c r="DI10" i="13"/>
  <c r="DH10" i="13"/>
  <c r="DK9" i="13"/>
  <c r="DJ9" i="13"/>
  <c r="DI9" i="13"/>
  <c r="DH9" i="13"/>
  <c r="DK8" i="13"/>
  <c r="DJ8" i="13"/>
  <c r="DI8" i="13"/>
  <c r="DH8" i="13"/>
  <c r="DK7" i="13"/>
  <c r="DJ7" i="13"/>
  <c r="DI7" i="13"/>
  <c r="DH7" i="13"/>
  <c r="DK6" i="13"/>
  <c r="DJ6" i="13"/>
  <c r="DI6" i="13"/>
  <c r="DH6" i="13"/>
  <c r="DK5" i="13"/>
  <c r="DJ5" i="13"/>
  <c r="DI5" i="13"/>
  <c r="DH5" i="13"/>
  <c r="DK4" i="13"/>
  <c r="DJ4" i="13"/>
  <c r="DI4" i="13"/>
  <c r="DH4" i="13"/>
  <c r="DK3" i="13"/>
  <c r="DJ3" i="13"/>
  <c r="DI3" i="13"/>
  <c r="DH3" i="13"/>
  <c r="C16" i="10"/>
  <c r="C14" i="10"/>
  <c r="X101" i="13"/>
  <c r="X106" i="13"/>
  <c r="BP42" i="13"/>
  <c r="X105" i="13"/>
  <c r="AB48" i="13"/>
  <c r="BV27" i="13"/>
  <c r="T23" i="7"/>
  <c r="T22" i="7"/>
  <c r="AZ82" i="13"/>
  <c r="AZ80" i="13"/>
  <c r="AZ78" i="13"/>
  <c r="AD108" i="13"/>
  <c r="AD107" i="13"/>
  <c r="AD106" i="13"/>
  <c r="AD105" i="13"/>
  <c r="AD104" i="13"/>
  <c r="AY78" i="13"/>
  <c r="AY82" i="13"/>
  <c r="AY80" i="13"/>
  <c r="G8" i="13"/>
  <c r="BP66" i="13"/>
  <c r="BL32" i="13"/>
  <c r="BH24" i="13"/>
  <c r="BG24" i="13"/>
  <c r="BS23" i="13"/>
  <c r="BR23" i="13"/>
  <c r="AS34" i="13"/>
  <c r="BH23" i="13"/>
  <c r="BG23" i="13"/>
  <c r="BE23" i="13"/>
  <c r="AK34" i="13"/>
  <c r="BD23" i="13"/>
  <c r="AJ34" i="13"/>
  <c r="BC23" i="13"/>
  <c r="AI34" i="13"/>
  <c r="AR99" i="13"/>
  <c r="AI80" i="13"/>
  <c r="BB23" i="13"/>
  <c r="AH34" i="13"/>
  <c r="BA23" i="13"/>
  <c r="AG34" i="13"/>
  <c r="AR97" i="13"/>
  <c r="AZ23" i="13"/>
  <c r="AF34" i="13"/>
  <c r="AR95" i="13" s="1"/>
  <c r="AY23" i="13"/>
  <c r="AE34" i="13"/>
  <c r="AR78" i="13" s="1"/>
  <c r="AX23" i="13"/>
  <c r="AW23" i="13"/>
  <c r="AD34" i="13"/>
  <c r="W35" i="13"/>
  <c r="W33" i="13"/>
  <c r="AE61" i="13"/>
  <c r="AE62" i="13"/>
  <c r="AA35" i="13"/>
  <c r="AA36" i="13"/>
  <c r="AU68" i="13"/>
  <c r="AW4" i="13"/>
  <c r="AX5" i="13"/>
  <c r="AX4" i="13"/>
  <c r="AW5" i="13"/>
  <c r="T2" i="4"/>
  <c r="T10" i="4"/>
  <c r="T7" i="4"/>
  <c r="T9" i="4"/>
  <c r="T6" i="4"/>
  <c r="BQ80" i="13"/>
  <c r="AY68" i="13"/>
  <c r="BC68" i="13"/>
  <c r="C26" i="10"/>
  <c r="AE54" i="13"/>
  <c r="C24" i="10"/>
  <c r="AE48" i="13"/>
  <c r="AE89" i="13"/>
  <c r="AH92" i="13"/>
  <c r="C22" i="10"/>
  <c r="AN101" i="13"/>
  <c r="C20" i="10"/>
  <c r="AT103" i="13"/>
  <c r="AK16" i="13"/>
  <c r="AJ16" i="13"/>
  <c r="T15" i="5"/>
  <c r="T5" i="5"/>
  <c r="T4" i="5"/>
  <c r="BF21" i="13"/>
  <c r="C18" i="10"/>
  <c r="BG21" i="13"/>
  <c r="K8" i="13"/>
  <c r="BQ18" i="13"/>
  <c r="BQ19" i="13"/>
  <c r="BQ20" i="13" s="1"/>
  <c r="BI17" i="13"/>
  <c r="BJ17" i="13"/>
  <c r="BO13" i="13" s="1"/>
  <c r="BH17" i="13"/>
  <c r="BQ13" i="13"/>
  <c r="BS13" i="13"/>
  <c r="BR13" i="13"/>
  <c r="BQ12" i="13"/>
  <c r="AD35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E17" i="13"/>
  <c r="E24" i="13"/>
  <c r="AO66" i="13"/>
  <c r="CN16" i="13"/>
  <c r="CN4" i="13"/>
  <c r="AA39" i="13"/>
  <c r="AA40" i="13"/>
  <c r="AA41" i="13"/>
  <c r="AA46" i="13"/>
  <c r="AA45" i="13"/>
  <c r="AA47" i="13"/>
  <c r="X3" i="13"/>
  <c r="BP12" i="13"/>
  <c r="AA49" i="13"/>
  <c r="X45" i="13" s="1"/>
  <c r="BP13" i="13"/>
  <c r="BC5" i="13"/>
  <c r="AA43" i="13"/>
  <c r="AA54" i="13" s="1"/>
  <c r="AF38" i="13"/>
  <c r="AS38" i="13"/>
  <c r="Y3" i="13"/>
  <c r="BQ75" i="13"/>
  <c r="BV75" i="13" s="1"/>
  <c r="AA50" i="13"/>
  <c r="AF37" i="13"/>
  <c r="AE38" i="13"/>
  <c r="AE37" i="13"/>
  <c r="AG38" i="13"/>
  <c r="AG37" i="13"/>
  <c r="AS37" i="13"/>
  <c r="AH38" i="13"/>
  <c r="AH37" i="13"/>
  <c r="AI38" i="13"/>
  <c r="AI37" i="13"/>
  <c r="Z3" i="13"/>
  <c r="K13" i="13"/>
  <c r="E22" i="13"/>
  <c r="AA48" i="13"/>
  <c r="Z59" i="13"/>
  <c r="Z61" i="13"/>
  <c r="AP24" i="13"/>
  <c r="AO24" i="13"/>
  <c r="AR37" i="13"/>
  <c r="AQ37" i="13"/>
  <c r="AP37" i="13"/>
  <c r="AO37" i="13"/>
  <c r="AN37" i="13"/>
  <c r="AM37" i="13"/>
  <c r="AL37" i="13"/>
  <c r="AK37" i="13"/>
  <c r="AJ37" i="13"/>
  <c r="AP26" i="13"/>
  <c r="AO2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S36" i="13"/>
  <c r="AP25" i="13"/>
  <c r="AO25" i="13"/>
  <c r="AR38" i="13"/>
  <c r="AQ38" i="13"/>
  <c r="AP38" i="13"/>
  <c r="AO38" i="13"/>
  <c r="AN38" i="13"/>
  <c r="AM38" i="13"/>
  <c r="AL38" i="13"/>
  <c r="AK38" i="13"/>
  <c r="AJ38" i="13"/>
  <c r="AP27" i="13"/>
  <c r="AO27" i="13"/>
  <c r="AN83" i="13"/>
  <c r="AT85" i="13"/>
  <c r="AH85" i="13"/>
  <c r="AE82" i="13"/>
  <c r="AS65" i="13"/>
  <c r="AA58" i="13"/>
  <c r="AI21" i="13"/>
  <c r="Y20" i="13"/>
  <c r="AE60" i="13"/>
  <c r="AE59" i="13"/>
  <c r="AF43" i="13"/>
  <c r="AF41" i="13"/>
  <c r="AD38" i="13"/>
  <c r="AD37" i="13"/>
  <c r="AD36" i="13"/>
  <c r="N32" i="13"/>
  <c r="AD30" i="13"/>
  <c r="X28" i="13"/>
  <c r="CN27" i="13"/>
  <c r="AN27" i="13"/>
  <c r="X27" i="13"/>
  <c r="CN26" i="13"/>
  <c r="AN26" i="13"/>
  <c r="CN25" i="13"/>
  <c r="AN25" i="13"/>
  <c r="CN24" i="13"/>
  <c r="AN24" i="13"/>
  <c r="CN23" i="13"/>
  <c r="AN23" i="13"/>
  <c r="CN22" i="13"/>
  <c r="CN21" i="13"/>
  <c r="CN20" i="13"/>
  <c r="CN19" i="13"/>
  <c r="CN18" i="13"/>
  <c r="CN17" i="13"/>
  <c r="CN15" i="13"/>
  <c r="CN14" i="13"/>
  <c r="CN13" i="13"/>
  <c r="CN12" i="13"/>
  <c r="CN11" i="13"/>
  <c r="CN10" i="13"/>
  <c r="G10" i="13"/>
  <c r="CN9" i="13"/>
  <c r="CN8" i="13"/>
  <c r="CN7" i="13"/>
  <c r="CN6" i="13"/>
  <c r="CN5" i="13"/>
  <c r="C12" i="10"/>
  <c r="C10" i="10"/>
  <c r="C8" i="10"/>
  <c r="C6" i="10"/>
  <c r="C4" i="10"/>
  <c r="T8" i="4"/>
  <c r="T5" i="4"/>
  <c r="T4" i="4"/>
  <c r="T3" i="4"/>
  <c r="Z4" i="13"/>
  <c r="Z28" i="13"/>
  <c r="X43" i="13"/>
  <c r="AA28" i="13"/>
  <c r="W78" i="13"/>
  <c r="AA51" i="13"/>
  <c r="BQ78" i="13"/>
  <c r="BV78" i="13"/>
  <c r="AR33" i="13"/>
  <c r="BN13" i="13"/>
  <c r="W59" i="13"/>
  <c r="AG33" i="13"/>
  <c r="AI33" i="13"/>
  <c r="AO22" i="13"/>
  <c r="AL33" i="13"/>
  <c r="AM33" i="13"/>
  <c r="AJ33" i="13"/>
  <c r="AL32" i="13"/>
  <c r="Y73" i="13"/>
  <c r="BC4" i="13"/>
  <c r="AQ48" i="13"/>
  <c r="AN52" i="13"/>
  <c r="AK32" i="13"/>
  <c r="AS32" i="13"/>
  <c r="AE32" i="13"/>
  <c r="AH32" i="13"/>
  <c r="AP32" i="13"/>
  <c r="AN21" i="13"/>
  <c r="W71" i="13"/>
  <c r="AF33" i="13"/>
  <c r="AS33" i="13"/>
  <c r="AQ33" i="13"/>
  <c r="AN22" i="13"/>
  <c r="AO33" i="13"/>
  <c r="AN33" i="13"/>
  <c r="Z70" i="13"/>
  <c r="AZ27" i="13"/>
  <c r="AR98" i="13"/>
  <c r="AI79" i="13"/>
  <c r="AR80" i="13"/>
  <c r="AR79" i="13"/>
  <c r="AR81" i="13"/>
  <c r="BN12" i="13"/>
  <c r="AR77" i="13"/>
  <c r="AI76" i="13"/>
  <c r="AI78" i="13"/>
  <c r="BQ76" i="13"/>
  <c r="K11" i="13"/>
  <c r="AQ52" i="13"/>
  <c r="BJ38" i="13"/>
  <c r="AN47" i="13"/>
  <c r="AJ9" i="13"/>
  <c r="K7" i="13"/>
  <c r="M12" i="13"/>
  <c r="AD20" i="13"/>
  <c r="AA42" i="13"/>
  <c r="M13" i="13"/>
  <c r="AI68" i="13"/>
  <c r="BQ74" i="13"/>
  <c r="BV74" i="13" s="1"/>
  <c r="K12" i="13"/>
  <c r="AF20" i="13"/>
  <c r="AH20" i="13"/>
  <c r="AI59" i="13"/>
  <c r="AJ19" i="13"/>
  <c r="Y32" i="13" l="1"/>
  <c r="Z6" i="13"/>
  <c r="C27" i="13"/>
  <c r="Z5" i="13"/>
  <c r="AO54" i="13"/>
  <c r="AN54" i="13"/>
  <c r="AI61" i="13"/>
  <c r="AI62" i="13" s="1"/>
  <c r="Y33" i="13" s="1"/>
  <c r="AI58" i="13"/>
  <c r="AJ61" i="13" s="1"/>
  <c r="AN49" i="13"/>
  <c r="AE51" i="13"/>
  <c r="AF105" i="13" s="1"/>
  <c r="AQ49" i="13"/>
  <c r="BJ39" i="13" s="1"/>
  <c r="AQ53" i="13"/>
  <c r="AN53" i="13"/>
  <c r="AN50" i="13"/>
  <c r="AN48" i="13"/>
  <c r="BM20" i="13"/>
  <c r="BJ37" i="13" s="1"/>
  <c r="AQ56" i="13"/>
  <c r="AQ50" i="13"/>
  <c r="AN51" i="13"/>
  <c r="G15" i="13"/>
  <c r="AE33" i="13"/>
  <c r="AM32" i="13"/>
  <c r="W62" i="13"/>
  <c r="Z63" i="13" s="1"/>
  <c r="W58" i="13"/>
  <c r="AO32" i="13"/>
  <c r="AG32" i="13"/>
  <c r="AP22" i="13"/>
  <c r="AF32" i="13"/>
  <c r="AP21" i="13"/>
  <c r="AN32" i="13"/>
  <c r="AJ32" i="13"/>
  <c r="AD32" i="13"/>
  <c r="AO21" i="13"/>
  <c r="AH33" i="13"/>
  <c r="G14" i="13"/>
  <c r="W63" i="13"/>
  <c r="Z34" i="13" s="1"/>
  <c r="AD33" i="13"/>
  <c r="W72" i="13"/>
  <c r="AK33" i="13"/>
  <c r="AQ32" i="13"/>
  <c r="AR32" i="13"/>
  <c r="AM14" i="13"/>
  <c r="AI32" i="13"/>
  <c r="Z31" i="13"/>
  <c r="Z32" i="13" s="1"/>
  <c r="Z33" i="13"/>
  <c r="AI77" i="13"/>
  <c r="AR96" i="13"/>
  <c r="BQ79" i="13"/>
  <c r="BV79" i="13" s="1"/>
  <c r="BV76" i="13"/>
  <c r="BT16" i="13"/>
  <c r="BQ16" i="13"/>
  <c r="BD17" i="13"/>
  <c r="BR16" i="13"/>
  <c r="BI82" i="13"/>
  <c r="BS16" i="13"/>
  <c r="BO12" i="13"/>
  <c r="BJ82" i="13"/>
  <c r="BJ32" i="13" l="1"/>
  <c r="AF104" i="13"/>
  <c r="BJ33" i="13"/>
  <c r="AF107" i="13"/>
  <c r="AF106" i="13"/>
  <c r="AF108" i="13"/>
  <c r="AG108" i="13" s="1"/>
  <c r="AH108" i="13" s="1"/>
  <c r="BJ34" i="13"/>
  <c r="BJ35" i="13" s="1"/>
  <c r="BJ30" i="13" s="1"/>
  <c r="AN46" i="13"/>
  <c r="Y35" i="13"/>
  <c r="Y36" i="13" s="1"/>
  <c r="BM22" i="13"/>
  <c r="Z72" i="13"/>
  <c r="Z71" i="13"/>
  <c r="Y34" i="13"/>
  <c r="Z35" i="13"/>
  <c r="AH6" i="13"/>
  <c r="BI20" i="13"/>
  <c r="BF23" i="13" s="1"/>
  <c r="C28" i="13"/>
  <c r="AJ62" i="13"/>
  <c r="AQ46" i="13" s="1"/>
  <c r="AF5" i="13"/>
  <c r="AH5" i="13"/>
  <c r="AG6" i="13"/>
  <c r="AG5" i="13"/>
  <c r="AX68" i="13"/>
  <c r="AZ68" i="13" s="1"/>
  <c r="BK82" i="13" s="1"/>
  <c r="AZ17" i="13" s="1"/>
  <c r="W29" i="13" s="1"/>
  <c r="X29" i="13" s="1"/>
  <c r="Y14" i="13"/>
  <c r="AF6" i="13"/>
  <c r="Y15" i="13"/>
  <c r="Z14" i="13"/>
  <c r="AF7" i="13"/>
  <c r="Z15" i="13"/>
  <c r="AE52" i="13"/>
  <c r="BJ76" i="13" s="1"/>
  <c r="BE14" i="13"/>
  <c r="AJ35" i="13" s="1"/>
  <c r="BQ15" i="13"/>
  <c r="BQ14" i="13" s="1"/>
  <c r="BA14" i="13"/>
  <c r="AF35" i="13" s="1"/>
  <c r="BF14" i="13"/>
  <c r="AK35" i="13" s="1"/>
  <c r="BB14" i="13"/>
  <c r="AG35" i="13" s="1"/>
  <c r="BL14" i="13"/>
  <c r="AQ35" i="13" s="1"/>
  <c r="BP14" i="13"/>
  <c r="M11" i="13" s="1"/>
  <c r="BS15" i="13"/>
  <c r="BS14" i="13" s="1"/>
  <c r="AL26" i="13" s="1"/>
  <c r="BR15" i="13"/>
  <c r="BM14" i="13"/>
  <c r="AR35" i="13" s="1"/>
  <c r="BJ14" i="13"/>
  <c r="AO35" i="13" s="1"/>
  <c r="AZ14" i="13"/>
  <c r="AE35" i="13" s="1"/>
  <c r="BD14" i="13"/>
  <c r="AI35" i="13" s="1"/>
  <c r="BK14" i="13"/>
  <c r="AP35" i="13" s="1"/>
  <c r="BR14" i="13"/>
  <c r="BI14" i="13"/>
  <c r="AN35" i="13" s="1"/>
  <c r="BC14" i="13"/>
  <c r="AH35" i="13" s="1"/>
  <c r="BO14" i="13"/>
  <c r="BT15" i="13"/>
  <c r="BT14" i="13" s="1"/>
  <c r="AL27" i="13" s="1"/>
  <c r="BH14" i="13"/>
  <c r="AM35" i="13" s="1"/>
  <c r="BG14" i="13"/>
  <c r="AL35" i="13" s="1"/>
  <c r="BN14" i="13"/>
  <c r="AS35" i="13" s="1"/>
  <c r="BI78" i="13" l="1"/>
  <c r="BK78" i="13" s="1"/>
  <c r="AP76" i="13" s="1"/>
  <c r="AP77" i="13" s="1"/>
  <c r="BJ78" i="13"/>
  <c r="BH76" i="13"/>
  <c r="BJ80" i="13"/>
  <c r="BI80" i="13"/>
  <c r="BK80" i="13" s="1"/>
  <c r="AP94" i="13" s="1"/>
  <c r="BI76" i="13"/>
  <c r="BK76" i="13" s="1"/>
  <c r="AG75" i="13" s="1"/>
  <c r="AG80" i="13" s="1"/>
  <c r="BH80" i="13"/>
  <c r="BH78" i="13"/>
  <c r="AP97" i="13"/>
  <c r="AP95" i="13"/>
  <c r="AP96" i="13"/>
  <c r="AP98" i="13"/>
  <c r="AP99" i="13"/>
  <c r="AG79" i="13"/>
  <c r="AG78" i="13"/>
  <c r="AG76" i="13"/>
  <c r="AG77" i="13"/>
  <c r="AO65" i="13"/>
  <c r="AO67" i="13" s="1"/>
  <c r="AO68" i="13" s="1"/>
  <c r="AA3" i="13"/>
  <c r="AA52" i="13" s="1"/>
  <c r="AB55" i="13" s="1"/>
  <c r="BI70" i="13"/>
  <c r="BK70" i="13" s="1"/>
  <c r="BH72" i="13"/>
  <c r="BJ72" i="13"/>
  <c r="BH70" i="13"/>
  <c r="BJ70" i="13"/>
  <c r="AE24" i="13"/>
  <c r="AE26" i="13"/>
  <c r="BI72" i="13"/>
  <c r="BK72" i="13" s="1"/>
  <c r="AL24" i="13"/>
  <c r="AL25" i="13"/>
  <c r="AP79" i="13" l="1"/>
  <c r="AP78" i="13"/>
  <c r="AP81" i="13"/>
  <c r="AP80" i="13"/>
  <c r="AH49" i="13"/>
  <c r="AN94" i="13"/>
  <c r="AH51" i="13"/>
  <c r="AE68" i="13"/>
  <c r="W21" i="13"/>
  <c r="AE75" i="13"/>
  <c r="K14" i="13"/>
  <c r="M14" i="13"/>
  <c r="BC6" i="13"/>
  <c r="AQ85" i="13"/>
  <c r="AO69" i="13"/>
  <c r="Z8" i="13" s="1"/>
  <c r="Z7" i="13"/>
  <c r="AE71" i="13"/>
  <c r="AE76" i="13" l="1"/>
  <c r="AE79" i="13"/>
  <c r="AE78" i="13"/>
  <c r="AE80" i="13"/>
  <c r="AE77" i="13"/>
  <c r="AA7" i="13"/>
  <c r="AT66" i="13"/>
  <c r="AT65" i="13"/>
  <c r="AS68" i="13" s="1"/>
  <c r="AS69" i="13" s="1"/>
  <c r="AT69" i="13" s="1"/>
  <c r="AA8" i="13"/>
  <c r="AF17" i="13"/>
  <c r="AO70" i="13"/>
  <c r="AQ69" i="13"/>
  <c r="AE67" i="13"/>
  <c r="AN95" i="13"/>
  <c r="AN96" i="13"/>
  <c r="AN98" i="13"/>
  <c r="AN99" i="13"/>
  <c r="AN97" i="13"/>
  <c r="AQ70" i="13" l="1"/>
  <c r="AH75" i="13" s="1"/>
  <c r="AH76" i="13" s="1"/>
  <c r="AG17" i="13"/>
  <c r="AH17" i="13" s="1"/>
  <c r="AE100" i="13"/>
  <c r="AF100" i="13" s="1"/>
  <c r="AQ94" i="13"/>
  <c r="AT70" i="13" l="1"/>
  <c r="AS70" i="13"/>
  <c r="AS86" i="13" s="1"/>
  <c r="BJ77" i="13" s="1"/>
  <c r="AQ76" i="13"/>
  <c r="AH78" i="13"/>
  <c r="AH80" i="13"/>
  <c r="AH77" i="13"/>
  <c r="AH79" i="13"/>
  <c r="AQ77" i="13"/>
  <c r="AQ81" i="13"/>
  <c r="AQ80" i="13"/>
  <c r="AQ79" i="13"/>
  <c r="AQ78" i="13"/>
  <c r="AQ96" i="13"/>
  <c r="AQ95" i="13"/>
  <c r="AQ99" i="13"/>
  <c r="AQ97" i="13"/>
  <c r="AQ98" i="13"/>
  <c r="AS103" i="13"/>
  <c r="AS104" i="13" s="1"/>
  <c r="BI77" i="13" l="1"/>
  <c r="BK77" i="13" s="1"/>
  <c r="AN76" i="13" s="1"/>
  <c r="AS76" i="13" s="1"/>
  <c r="AS85" i="13"/>
  <c r="BH77" i="13"/>
  <c r="AI67" i="13"/>
  <c r="AI69" i="13" s="1"/>
  <c r="BI79" i="13"/>
  <c r="BK79" i="13" s="1"/>
  <c r="AO94" i="13" s="1"/>
  <c r="BH79" i="13"/>
  <c r="BJ79" i="13"/>
  <c r="BI75" i="13"/>
  <c r="BK75" i="13" s="1"/>
  <c r="AF75" i="13" s="1"/>
  <c r="AI70" i="13"/>
  <c r="BH75" i="13"/>
  <c r="BJ75" i="13"/>
  <c r="AN77" i="13" l="1"/>
  <c r="AS77" i="13" s="1"/>
  <c r="AN79" i="13"/>
  <c r="AS79" i="13" s="1"/>
  <c r="AN80" i="13"/>
  <c r="AS80" i="13" s="1"/>
  <c r="AN81" i="13"/>
  <c r="AS81" i="13" s="1"/>
  <c r="AN78" i="13"/>
  <c r="AS78" i="13" s="1"/>
  <c r="AO97" i="13"/>
  <c r="AS97" i="13" s="1"/>
  <c r="AO95" i="13"/>
  <c r="AS95" i="13" s="1"/>
  <c r="AO98" i="13"/>
  <c r="AS98" i="13" s="1"/>
  <c r="AO96" i="13"/>
  <c r="AS96" i="13" s="1"/>
  <c r="AO99" i="13"/>
  <c r="AS99" i="13" s="1"/>
  <c r="AS94" i="13"/>
  <c r="AF79" i="13"/>
  <c r="AJ79" i="13" s="1"/>
  <c r="AF80" i="13"/>
  <c r="AJ80" i="13" s="1"/>
  <c r="AF78" i="13"/>
  <c r="AJ78" i="13" s="1"/>
  <c r="AF76" i="13"/>
  <c r="AJ76" i="13" s="1"/>
  <c r="AF77" i="13"/>
  <c r="AJ77" i="13" s="1"/>
  <c r="AJ75" i="13"/>
  <c r="AS82" i="13" l="1"/>
  <c r="AT78" i="13" s="1"/>
  <c r="AS100" i="13"/>
  <c r="AT95" i="13"/>
  <c r="AJ81" i="13"/>
  <c r="AK79" i="13" s="1"/>
  <c r="AK80" i="13"/>
  <c r="AE96" i="13" s="1"/>
  <c r="AE106" i="13" s="1"/>
  <c r="AG106" i="13" s="1"/>
  <c r="AH106" i="13" s="1"/>
  <c r="AJ104" i="13" s="1"/>
  <c r="AT79" i="13"/>
  <c r="AT99" i="13"/>
  <c r="AT105" i="13" s="1"/>
  <c r="AT96" i="13"/>
  <c r="AT98" i="13"/>
  <c r="AT97" i="13"/>
  <c r="AT82" i="13" l="1"/>
  <c r="AT80" i="13"/>
  <c r="AT81" i="13"/>
  <c r="AT87" i="13" s="1"/>
  <c r="AE107" i="13" s="1"/>
  <c r="AG107" i="13" s="1"/>
  <c r="AH107" i="13" s="1"/>
  <c r="AT77" i="13"/>
  <c r="AN84" i="13" s="1"/>
  <c r="AE104" i="13"/>
  <c r="AG104" i="13" s="1"/>
  <c r="AH104" i="13" s="1"/>
  <c r="AE105" i="13"/>
  <c r="AG105" i="13" s="1"/>
  <c r="AH105" i="13" s="1"/>
  <c r="AK76" i="13"/>
  <c r="AG20" i="13"/>
  <c r="AD21" i="13"/>
  <c r="AK77" i="13"/>
  <c r="AT100" i="13"/>
  <c r="AN102" i="13"/>
  <c r="AO85" i="13"/>
  <c r="AN85" i="13"/>
  <c r="AN86" i="13" s="1"/>
  <c r="AN87" i="13" s="1"/>
  <c r="AO87" i="13" s="1"/>
  <c r="AP87" i="13" s="1"/>
  <c r="AH27" i="13" s="1"/>
  <c r="AK52" i="13" s="1"/>
  <c r="AK78" i="13"/>
  <c r="AN103" i="13" l="1"/>
  <c r="AN104" i="13" s="1"/>
  <c r="AN105" i="13" s="1"/>
  <c r="AO105" i="13" s="1"/>
  <c r="AP105" i="13" s="1"/>
  <c r="AO103" i="13"/>
  <c r="BH74" i="13"/>
  <c r="BJ74" i="13"/>
  <c r="BI74" i="13"/>
  <c r="BK74" i="13" s="1"/>
  <c r="AE27" i="13"/>
  <c r="BJ69" i="13"/>
  <c r="BH69" i="13"/>
  <c r="BI69" i="13"/>
  <c r="BK69" i="13" s="1"/>
  <c r="AG21" i="13" s="1"/>
  <c r="AK81" i="13"/>
  <c r="AE90" i="13"/>
  <c r="AE83" i="13"/>
  <c r="AE91" i="13" l="1"/>
  <c r="AE92" i="13" s="1"/>
  <c r="AF91" i="13"/>
  <c r="AE84" i="13"/>
  <c r="AE85" i="13" s="1"/>
  <c r="AE86" i="13" s="1"/>
  <c r="AF84" i="13"/>
  <c r="AE25" i="13"/>
  <c r="AH50" i="13" s="1"/>
  <c r="AH52" i="13"/>
  <c r="AF26" i="13"/>
  <c r="AF25" i="13"/>
  <c r="AI50" i="13" s="1"/>
  <c r="AF27" i="13"/>
  <c r="AI52" i="13" s="1"/>
  <c r="AF24" i="13"/>
  <c r="AI49" i="13" s="1"/>
  <c r="AH24" i="13"/>
  <c r="AK49" i="13" s="1"/>
  <c r="AH25" i="13"/>
  <c r="AK50" i="13" s="1"/>
  <c r="AJ49" i="13" l="1"/>
  <c r="W24" i="13"/>
  <c r="AI51" i="13"/>
  <c r="AJ50" i="13"/>
  <c r="AG25" i="13" s="1"/>
  <c r="AE95" i="13"/>
  <c r="AF95" i="13" s="1"/>
  <c r="AG95" i="13" s="1"/>
  <c r="AH26" i="13" s="1"/>
  <c r="AE93" i="13"/>
  <c r="W26" i="13" l="1"/>
  <c r="AK51" i="13"/>
  <c r="AJ51" i="13" s="1"/>
  <c r="Z9" i="13"/>
  <c r="Z10" i="13" s="1"/>
  <c r="AA10" i="13" s="1"/>
  <c r="X24" i="13"/>
  <c r="Z12" i="13"/>
  <c r="AA12" i="13" s="1"/>
  <c r="AG24" i="13"/>
  <c r="BI71" i="13"/>
  <c r="BK71" i="13" s="1"/>
  <c r="BJ71" i="13"/>
  <c r="BH71" i="13"/>
  <c r="BI73" i="13" l="1"/>
  <c r="BK73" i="13" s="1"/>
  <c r="AG26" i="13"/>
  <c r="X21" i="13" s="1"/>
  <c r="BJ73" i="13"/>
  <c r="BH73" i="13"/>
  <c r="AY5" i="13"/>
  <c r="AX6" i="13"/>
  <c r="AW6" i="13"/>
  <c r="AY6" i="13" s="1"/>
  <c r="X26" i="13" s="1"/>
  <c r="BQ77" i="13"/>
  <c r="BV77" i="13" s="1"/>
  <c r="BV80" i="13" s="1"/>
  <c r="BF5" i="13" l="1"/>
  <c r="BF4" i="13"/>
  <c r="BF6" i="13" s="1"/>
  <c r="X20" i="13"/>
  <c r="BH68" i="13" s="1"/>
  <c r="W20" i="13"/>
  <c r="AZ15" i="13" s="1"/>
  <c r="BH81" i="13" l="1"/>
  <c r="BH82" i="13"/>
  <c r="BI81" i="13"/>
  <c r="BK81" i="13" s="1"/>
  <c r="AZ16" i="13" s="1"/>
  <c r="BJ81" i="13"/>
  <c r="BJ68" i="13"/>
  <c r="BI68" i="13"/>
  <c r="BK68" i="13" s="1"/>
  <c r="W25" i="13" s="1"/>
  <c r="X25" i="13" l="1"/>
  <c r="Z13" i="13"/>
  <c r="AA13" i="13" s="1"/>
  <c r="W23" i="13"/>
  <c r="X23" i="13" s="1"/>
  <c r="AZ18" i="13"/>
  <c r="AP28" i="13" l="1"/>
  <c r="AR39" i="13"/>
  <c r="AO28" i="13"/>
  <c r="AL39" i="13"/>
  <c r="AO39" i="13"/>
  <c r="AE40" i="13"/>
  <c r="Z11" i="13"/>
  <c r="AM39" i="13"/>
  <c r="BI23" i="13" s="1"/>
  <c r="BJ23" i="13" s="1"/>
  <c r="AQ39" i="13"/>
  <c r="AP39" i="13"/>
  <c r="AN39" i="13"/>
  <c r="Z23" i="13"/>
  <c r="AR46" i="13" l="1"/>
  <c r="AT46" i="13" s="1"/>
  <c r="AG7" i="13"/>
  <c r="AF8" i="13" s="1"/>
  <c r="AG8" i="13" s="1"/>
  <c r="AM7" i="13" s="1"/>
  <c r="AM13" i="13" s="1"/>
  <c r="AA15" i="13"/>
  <c r="AA14" i="13"/>
  <c r="AA16" i="13" s="1"/>
  <c r="Z16" i="13"/>
  <c r="AP40" i="13"/>
  <c r="AL21" i="13"/>
  <c r="AR40" i="13"/>
  <c r="BK23" i="13"/>
  <c r="BL23" i="13" s="1"/>
  <c r="BM23" i="13" s="1"/>
  <c r="BH27" i="13" s="1"/>
  <c r="AL40" i="13"/>
  <c r="BF27" i="13" l="1"/>
  <c r="BJ27" i="13" s="1"/>
  <c r="BD27" i="13"/>
  <c r="BI27" i="13" s="1"/>
  <c r="BK27" i="13" s="1"/>
  <c r="BL27" i="13" s="1"/>
  <c r="BN23" i="13" s="1"/>
  <c r="BQ23" i="13" s="1"/>
  <c r="AR50" i="13"/>
  <c r="AT50" i="13" s="1"/>
  <c r="AR51" i="13"/>
  <c r="AT51" i="13" s="1"/>
  <c r="AM15" i="13"/>
  <c r="AA53" i="13"/>
  <c r="AI24" i="13" l="1"/>
  <c r="W27" i="13" s="1"/>
  <c r="BO23" i="13"/>
  <c r="BV25" i="13" s="1"/>
  <c r="BV23" i="13" l="1"/>
  <c r="BV24" i="13"/>
  <c r="AE41" i="13"/>
  <c r="AG39" i="13"/>
  <c r="AS39" i="13"/>
  <c r="AH39" i="13"/>
  <c r="AJ39" i="13"/>
  <c r="AI39" i="13"/>
  <c r="AE39" i="13"/>
  <c r="AK39" i="13"/>
  <c r="AF39" i="13"/>
  <c r="BV26" i="13"/>
  <c r="BP23" i="13" s="1"/>
  <c r="AJ24" i="13" l="1"/>
  <c r="AJ21" i="13"/>
  <c r="AJ40" i="13"/>
  <c r="AO49" i="13"/>
  <c r="AS49" i="13" s="1"/>
  <c r="AO48" i="13"/>
  <c r="AS48" i="13" s="1"/>
  <c r="AO47" i="13"/>
  <c r="AS47" i="13" s="1"/>
  <c r="AO46" i="13"/>
  <c r="AE42" i="13"/>
  <c r="AI44" i="13"/>
  <c r="AE43" i="13"/>
  <c r="AG42" i="13"/>
  <c r="AK24" i="13"/>
  <c r="AK21" i="13"/>
  <c r="AO52" i="13"/>
  <c r="AS52" i="13" s="1"/>
  <c r="AO53" i="13"/>
  <c r="AS53" i="13" s="1"/>
  <c r="AO51" i="13"/>
  <c r="AS51" i="13" s="1"/>
  <c r="AO40" i="13"/>
  <c r="AO50" i="13"/>
  <c r="AS50" i="13" s="1"/>
  <c r="AR53" i="13" l="1"/>
  <c r="AT53" i="13"/>
  <c r="AR47" i="13"/>
  <c r="AT47" i="13" s="1"/>
  <c r="AR49" i="13"/>
  <c r="AR52" i="13"/>
  <c r="AT52" i="13"/>
  <c r="AT49" i="13"/>
  <c r="AG43" i="13"/>
  <c r="AR48" i="13"/>
  <c r="AT48" i="13" s="1"/>
  <c r="AO55" i="13"/>
  <c r="AQ54" i="13" s="1"/>
  <c r="AB51" i="13"/>
  <c r="AS54" i="13" l="1"/>
  <c r="AM16" i="13"/>
  <c r="AA55" i="13"/>
  <c r="H30" i="13" l="1"/>
  <c r="H26" i="13"/>
  <c r="J33" i="13"/>
  <c r="J34" i="13"/>
  <c r="AS23" i="13"/>
  <c r="I19" i="13" s="1"/>
  <c r="Y75" i="13"/>
  <c r="F26" i="13"/>
  <c r="J32" i="13"/>
  <c r="I26" i="13"/>
  <c r="J26" i="13"/>
  <c r="AS22" i="13"/>
  <c r="I18" i="13" s="1"/>
  <c r="L27" i="13"/>
  <c r="F31" i="13"/>
  <c r="I28" i="13"/>
  <c r="I34" i="13"/>
  <c r="G26" i="13"/>
  <c r="K27" i="13"/>
  <c r="H28" i="13"/>
  <c r="L34" i="13"/>
  <c r="L32" i="13"/>
  <c r="L28" i="13"/>
  <c r="K30" i="13"/>
  <c r="K26" i="13"/>
  <c r="I30" i="13"/>
  <c r="G29" i="13"/>
  <c r="AS20" i="13"/>
  <c r="I17" i="13" s="1"/>
  <c r="F18" i="13"/>
  <c r="AS26" i="13"/>
  <c r="I22" i="13" s="1"/>
  <c r="K28" i="13"/>
  <c r="F28" i="13"/>
  <c r="J27" i="13"/>
  <c r="F33" i="13"/>
  <c r="I31" i="13"/>
  <c r="G24" i="13"/>
  <c r="H32" i="13"/>
  <c r="G27" i="13"/>
  <c r="G28" i="13"/>
  <c r="I27" i="13"/>
  <c r="K33" i="13"/>
  <c r="L31" i="13"/>
  <c r="F27" i="13"/>
  <c r="L30" i="13"/>
  <c r="I32" i="13"/>
  <c r="F34" i="13"/>
  <c r="I33" i="13"/>
  <c r="AS25" i="13"/>
  <c r="I21" i="13" s="1"/>
  <c r="AS21" i="13"/>
  <c r="L33" i="13"/>
  <c r="F32" i="13"/>
  <c r="L26" i="13"/>
  <c r="AS24" i="13"/>
  <c r="I20" i="13" s="1"/>
  <c r="AS55" i="13"/>
  <c r="J28" i="13"/>
  <c r="H31" i="13"/>
  <c r="H33" i="13"/>
  <c r="H34" i="13"/>
  <c r="J31" i="13"/>
  <c r="H27" i="13"/>
  <c r="F30" i="13"/>
  <c r="J30" i="13"/>
  <c r="K34" i="13"/>
  <c r="AS27" i="13"/>
  <c r="I23" i="13" s="1"/>
</calcChain>
</file>

<file path=xl/sharedStrings.xml><?xml version="1.0" encoding="utf-8"?>
<sst xmlns="http://schemas.openxmlformats.org/spreadsheetml/2006/main" count="1619" uniqueCount="1159">
  <si>
    <t>Légumes</t>
  </si>
  <si>
    <t>Huiles</t>
  </si>
  <si>
    <t>Qtt / Grs</t>
  </si>
  <si>
    <t>Kcal/100gr</t>
  </si>
  <si>
    <t>Protéines</t>
  </si>
  <si>
    <t>Lipides</t>
  </si>
  <si>
    <t>Glucides</t>
  </si>
  <si>
    <t>Cendres</t>
  </si>
  <si>
    <t>Ca</t>
  </si>
  <si>
    <t>P</t>
  </si>
  <si>
    <t>CMV</t>
  </si>
  <si>
    <t>% Legumes</t>
  </si>
  <si>
    <t>% Féculents</t>
  </si>
  <si>
    <t>% Viandes</t>
  </si>
  <si>
    <t>TOTAL</t>
  </si>
  <si>
    <t>Protéines (g)</t>
  </si>
  <si>
    <t>Lipides (g)</t>
  </si>
  <si>
    <t>Glucides (g)</t>
  </si>
  <si>
    <t>Cendres (g)</t>
  </si>
  <si>
    <t>Fibres (g)</t>
  </si>
  <si>
    <t>Ca (mg)</t>
  </si>
  <si>
    <t>P (mg)</t>
  </si>
  <si>
    <t>P  (mg)</t>
  </si>
  <si>
    <t>Type</t>
  </si>
  <si>
    <t>comprime</t>
  </si>
  <si>
    <t>poudre</t>
  </si>
  <si>
    <t>Nbr doses</t>
  </si>
  <si>
    <t>Ca/P</t>
  </si>
  <si>
    <t>Calcul au plus juste</t>
  </si>
  <si>
    <t>Ca Missing</t>
  </si>
  <si>
    <t>Ca Total</t>
  </si>
  <si>
    <t>Ca CMV</t>
  </si>
  <si>
    <t>Fibres</t>
  </si>
  <si>
    <t>NaCl (g)</t>
  </si>
  <si>
    <t>NaCl</t>
  </si>
  <si>
    <t>Ingrédients</t>
  </si>
  <si>
    <t>Amidon</t>
  </si>
  <si>
    <t>Protéines animales</t>
  </si>
  <si>
    <t>Protéines végétales</t>
  </si>
  <si>
    <t>% Protéines animales</t>
  </si>
  <si>
    <t>% Protéines végétales</t>
  </si>
  <si>
    <t>% amidon</t>
  </si>
  <si>
    <t>Airedale Terrier</t>
  </si>
  <si>
    <t>Akita Américain</t>
  </si>
  <si>
    <t>Barbet</t>
  </si>
  <si>
    <t>Basenji</t>
  </si>
  <si>
    <t>Beagle</t>
  </si>
  <si>
    <t>Beagle Harrier</t>
  </si>
  <si>
    <t>Beauceron</t>
  </si>
  <si>
    <t>Bedlington Terrier</t>
  </si>
  <si>
    <t>Berger Belge Malinois</t>
  </si>
  <si>
    <t>Berger Catalan</t>
  </si>
  <si>
    <t>Berger des Pyrénées</t>
  </si>
  <si>
    <t>Bichon Bolonais</t>
  </si>
  <si>
    <t>Bichon Frisé</t>
  </si>
  <si>
    <t>Bichon Maltais</t>
  </si>
  <si>
    <t>Bouvier des Flandres</t>
  </si>
  <si>
    <t>Boxer</t>
  </si>
  <si>
    <t>Buhund Norvégien</t>
  </si>
  <si>
    <t>Bull Mastif</t>
  </si>
  <si>
    <t>Cairn Terrier</t>
  </si>
  <si>
    <t>Cavalier King Charles</t>
  </si>
  <si>
    <t>Chien d'eau Portugais</t>
  </si>
  <si>
    <t>Chien d’Elan Suédois</t>
  </si>
  <si>
    <t>Chien d’Ours de Carélie</t>
  </si>
  <si>
    <t>Chien de Berger Islandais</t>
  </si>
  <si>
    <t>Chien du Groendland</t>
  </si>
  <si>
    <t>Chien Norvégien de Macareux</t>
  </si>
  <si>
    <t>Chien Suédois de Laponie</t>
  </si>
  <si>
    <t>Chien-loup de Saarloos</t>
  </si>
  <si>
    <t>Chien-loup tchèque</t>
  </si>
  <si>
    <t>Chowchow</t>
  </si>
  <si>
    <t>Cirneco Dell’Etna</t>
  </si>
  <si>
    <t>Cocker Américain</t>
  </si>
  <si>
    <t>Doberman</t>
  </si>
  <si>
    <t>Epagneul Breton</t>
  </si>
  <si>
    <t>Epagneul Picard</t>
  </si>
  <si>
    <t>Galgo</t>
  </si>
  <si>
    <t>Griffon Korthals</t>
  </si>
  <si>
    <t>Hovawart</t>
  </si>
  <si>
    <t>Laïka de Sibérie Occidentale</t>
  </si>
  <si>
    <t>Laïka de Sibérie Orientale</t>
  </si>
  <si>
    <t>Laïka Russo-Européen</t>
  </si>
  <si>
    <t>Leonberg</t>
  </si>
  <si>
    <t>Levrier Afghan</t>
  </si>
  <si>
    <t>Lévrier Irlandais</t>
  </si>
  <si>
    <t>Lhassa Apso</t>
  </si>
  <si>
    <t>Malamute d’Alaska</t>
  </si>
  <si>
    <t>Mastiff</t>
  </si>
  <si>
    <t>Montagne des Pyrénées</t>
  </si>
  <si>
    <t>Petit Lévrier Italien</t>
  </si>
  <si>
    <t>Rottweiler</t>
  </si>
  <si>
    <t>Saint Bernard</t>
  </si>
  <si>
    <t>Saluki</t>
  </si>
  <si>
    <t>Samoyède</t>
  </si>
  <si>
    <t>Setter Anglais</t>
  </si>
  <si>
    <t>Setter Irlandais</t>
  </si>
  <si>
    <t>Sloughi</t>
  </si>
  <si>
    <t>Spitz Allemand Grand</t>
  </si>
  <si>
    <t>Spitz Allemand Petit</t>
  </si>
  <si>
    <t>Spitz de Norrbotten</t>
  </si>
  <si>
    <t>Spitz des Wisigoths</t>
  </si>
  <si>
    <t>Spitz Finlandais</t>
  </si>
  <si>
    <t>Staffordshire Bull Terrier</t>
  </si>
  <si>
    <t>Teckel</t>
  </si>
  <si>
    <t>Terre-Neuve</t>
  </si>
  <si>
    <t>Terrier Tibétain</t>
  </si>
  <si>
    <t>Yorkshire Terrier</t>
  </si>
  <si>
    <t>K1 - Racial</t>
  </si>
  <si>
    <t>Normal</t>
  </si>
  <si>
    <t>Convalescence</t>
  </si>
  <si>
    <t>K2 - Comportement</t>
  </si>
  <si>
    <t>Entier</t>
  </si>
  <si>
    <t>Castré</t>
  </si>
  <si>
    <t>Stérilisée</t>
  </si>
  <si>
    <t>K3 - Physiologie</t>
  </si>
  <si>
    <t>Adulte</t>
  </si>
  <si>
    <t>Gestation 1er tiers</t>
  </si>
  <si>
    <t>Gestation 2ème tiers</t>
  </si>
  <si>
    <t>Gestation 3ème tiers</t>
  </si>
  <si>
    <t>Léger surpoids</t>
  </si>
  <si>
    <t>Un peu trop maigre</t>
  </si>
  <si>
    <t>K4 - Sanitaire</t>
  </si>
  <si>
    <t>Kc - Climatique</t>
  </si>
  <si>
    <t>Intérieur</t>
  </si>
  <si>
    <t>Extérieur (été &gt; +30°c)</t>
  </si>
  <si>
    <t>n-9</t>
  </si>
  <si>
    <t>n-6</t>
  </si>
  <si>
    <t>n-3</t>
  </si>
  <si>
    <t>Ratio 6/3</t>
  </si>
  <si>
    <t>Autre race ou race croisée</t>
  </si>
  <si>
    <t>Xoloitzcuintle</t>
  </si>
  <si>
    <t>Barzoï</t>
  </si>
  <si>
    <t>Validation entrée choix</t>
  </si>
  <si>
    <t>CCV</t>
  </si>
  <si>
    <t xml:space="preserve">SCORE TOTAL  </t>
  </si>
  <si>
    <t>Welsh Corgi</t>
  </si>
  <si>
    <t xml:space="preserve">SCORE BEE  </t>
  </si>
  <si>
    <t>SCORE % RM</t>
  </si>
  <si>
    <t xml:space="preserve">Lactation </t>
  </si>
  <si>
    <t>Validation entrée formule PERSO RM</t>
  </si>
  <si>
    <t>GAMELLE FINALE</t>
  </si>
  <si>
    <t>Poids Yaourt (g)</t>
  </si>
  <si>
    <t>Option Œuf</t>
  </si>
  <si>
    <t>Quantité</t>
  </si>
  <si>
    <t>Apport Kcal (si option = 1)</t>
  </si>
  <si>
    <t>Poids Oeuf (g)</t>
  </si>
  <si>
    <t>Petphos Ca/P=2 (grand chien)</t>
  </si>
  <si>
    <t>Petphos Ca/P=2 (chien &lt;25kg)</t>
  </si>
  <si>
    <t>BASE DE DONNEES FACTEURS DE CORRECTION / RPC MINIMUM</t>
  </si>
  <si>
    <t>Ka - Appetit</t>
  </si>
  <si>
    <t>Chiot (20-35kg adulte) 9 à 10 mois</t>
  </si>
  <si>
    <t>Chiot (20-35kg adulte) 11 à 15 mois</t>
  </si>
  <si>
    <t xml:space="preserve">Chiot (35-50kg adulte) 3 à 5 mois </t>
  </si>
  <si>
    <t xml:space="preserve">Chiot (35-50kg adulte) 14 à 18 mois </t>
  </si>
  <si>
    <t xml:space="preserve">Chiot (&gt; 50kg adulte) 3 à 6 mois </t>
  </si>
  <si>
    <t xml:space="preserve">Chiot (&gt; 50kg adulte) 14 à 21 mois </t>
  </si>
  <si>
    <t>SANS CMV</t>
  </si>
  <si>
    <t>AVEC CMV</t>
  </si>
  <si>
    <t>K3' - Hormonal</t>
  </si>
  <si>
    <t xml:space="preserve">Vraiment gros (obèse) </t>
  </si>
  <si>
    <t>Vraiment maigre (cachectique)</t>
  </si>
  <si>
    <t>RPC "standard" pour un</t>
  </si>
  <si>
    <t>OBJECTIF BE  /  RPC MIN  /  RPC OPTIMISE</t>
  </si>
  <si>
    <t>DETERMINATION DU RPC OPTIMAL</t>
  </si>
  <si>
    <t>% de base</t>
  </si>
  <si>
    <t>Apport Kcal</t>
  </si>
  <si>
    <t>Calcul automatique
de l'apport d'huile</t>
  </si>
  <si>
    <t>% correction</t>
  </si>
  <si>
    <t>% final</t>
  </si>
  <si>
    <t>Vérif si formule = 100%</t>
  </si>
  <si>
    <t>RPC MAX</t>
  </si>
  <si>
    <t>TRAITEMENT DES "OPTIONS"</t>
  </si>
  <si>
    <t>SCORING AFFICHAGE DES RESULTATS</t>
  </si>
  <si>
    <t>GAMELLE FINALE KCAL REEL</t>
  </si>
  <si>
    <t>ALL Kcal x %RM</t>
  </si>
  <si>
    <t>X fois 100gr</t>
  </si>
  <si>
    <t>x100g FORMULE LIBRE UNIQUEMENT</t>
  </si>
  <si>
    <t>DETERMINATION DE LA QUANTITE D'INGREDIENTS PAR TYPE DE FORMULE</t>
  </si>
  <si>
    <t>1 = désactivé</t>
  </si>
  <si>
    <t>A couvrir</t>
  </si>
  <si>
    <t>Viande</t>
  </si>
  <si>
    <t>Féculent</t>
  </si>
  <si>
    <t>Légume</t>
  </si>
  <si>
    <t>Vérification des
apports par
ingrédient</t>
  </si>
  <si>
    <t>Ratio RM
% Huile
Vérif Kcal</t>
  </si>
  <si>
    <t>APPORT EN FECULENTS</t>
  </si>
  <si>
    <t>Kcal restant</t>
  </si>
  <si>
    <t>SCORE % FORMULE</t>
  </si>
  <si>
    <t>SCORE 100% RM CORRECT</t>
  </si>
  <si>
    <t>Qtt (g)</t>
  </si>
  <si>
    <t>Max œuf / poids</t>
  </si>
  <si>
    <t>Quantité choisie correcte ?</t>
  </si>
  <si>
    <t>0 = OK    -1 = NOK</t>
  </si>
  <si>
    <t>Poids arrondi inférieur</t>
  </si>
  <si>
    <t xml:space="preserve">Si yaourt + œuf : </t>
  </si>
  <si>
    <t xml:space="preserve">Si œuf seul : </t>
  </si>
  <si>
    <t xml:space="preserve">Si yaourt seul : </t>
  </si>
  <si>
    <t>Texte final</t>
  </si>
  <si>
    <t>Texte original en fonction du choix des options</t>
  </si>
  <si>
    <t>CHECK KCAL</t>
  </si>
  <si>
    <t>RPC de base par poids (&lt;10 10-25 &gt;25 kg)</t>
  </si>
  <si>
    <t>Nbr doses ABS()</t>
  </si>
  <si>
    <t>Aucun</t>
  </si>
  <si>
    <t xml:space="preserve">  DEPEND DU</t>
  </si>
  <si>
    <t xml:space="preserve">  STADE DE VIE </t>
  </si>
  <si>
    <t xml:space="preserve">  NE PAS EDITER</t>
  </si>
  <si>
    <t xml:space="preserve">  ATTENTION !</t>
  </si>
  <si>
    <t>n-6/n-3 (max)</t>
  </si>
  <si>
    <t>Ca/P (max)</t>
  </si>
  <si>
    <t>Protéines (min)</t>
  </si>
  <si>
    <t>Ca g/Mcal cible</t>
  </si>
  <si>
    <t>H2O Estim.</t>
  </si>
  <si>
    <t>Vérification</t>
  </si>
  <si>
    <t>RPC (min)</t>
  </si>
  <si>
    <t xml:space="preserve">  LES DONNEES ICI</t>
  </si>
  <si>
    <t>Ratio 9/6</t>
  </si>
  <si>
    <t>% Protéines (min)</t>
  </si>
  <si>
    <t>% Lipides (min)</t>
  </si>
  <si>
    <t>% Lipides (max)</t>
  </si>
  <si>
    <t>% Glucides (max)</t>
  </si>
  <si>
    <t>% Cendres (max)</t>
  </si>
  <si>
    <t>% Fibres (min)</t>
  </si>
  <si>
    <t>% Fibres (max)</t>
  </si>
  <si>
    <t>Ca/Mcal EM</t>
  </si>
  <si>
    <t>P/Mcal EM</t>
  </si>
  <si>
    <t>Sans LOCK</t>
  </si>
  <si>
    <t>APPORT EN VIANDE</t>
  </si>
  <si>
    <t>Poids (grammes)</t>
  </si>
  <si>
    <t>Poids prédictif</t>
  </si>
  <si>
    <t>&gt; viandes ?</t>
  </si>
  <si>
    <t>CORRECTION AUTOMATIQUE DE L'HUILE SI FECULENT &gt; VIANDE EN FORMULE "ECO"</t>
  </si>
  <si>
    <t>% huile de base</t>
  </si>
  <si>
    <t>Huile</t>
  </si>
  <si>
    <t>ECO</t>
  </si>
  <si>
    <t>PB</t>
  </si>
  <si>
    <t>HUILE</t>
  </si>
  <si>
    <t>APPORT EN VIANDE | LEGUME | FECULENT |</t>
  </si>
  <si>
    <t>Kcal/100g</t>
  </si>
  <si>
    <t>&gt; 0 si erreur</t>
  </si>
  <si>
    <t>DETERMINATION DE LA QUANTITE OPTIMALE DE CMV A UTILISER</t>
  </si>
  <si>
    <t>Dosage facile pour les utilisateurs</t>
  </si>
  <si>
    <t>Cuillère type</t>
  </si>
  <si>
    <t>Phrase complète</t>
  </si>
  <si>
    <t>Grammage</t>
  </si>
  <si>
    <t>Huile de Colza</t>
  </si>
  <si>
    <t>Huile de Hareng</t>
  </si>
  <si>
    <t>Huile de Pépins de raisin</t>
  </si>
  <si>
    <t>Huile de Sardine</t>
  </si>
  <si>
    <t>Huile de Saumon</t>
  </si>
  <si>
    <t>H2O</t>
  </si>
  <si>
    <t>S.PREMIUM</t>
  </si>
  <si>
    <t>Validation entrée formule + viande</t>
  </si>
  <si>
    <t>Formule (S47) + Viande (S49)</t>
  </si>
  <si>
    <t>% maximum</t>
  </si>
  <si>
    <t>Dépassement ?</t>
  </si>
  <si>
    <t>% Huile (ou facteur)</t>
  </si>
  <si>
    <t>Coef Huile</t>
  </si>
  <si>
    <t>Kcal théorique</t>
  </si>
  <si>
    <t>Apport réel</t>
  </si>
  <si>
    <t>Coef final à appliquer</t>
  </si>
  <si>
    <t>Apport corrigé en Kcal</t>
  </si>
  <si>
    <t>Poids total estimé</t>
  </si>
  <si>
    <t>Lipides estimés</t>
  </si>
  <si>
    <t>% MS</t>
  </si>
  <si>
    <t>Protéines estimés</t>
  </si>
  <si>
    <t>Glucides estimés</t>
  </si>
  <si>
    <t>Cendres estimés</t>
  </si>
  <si>
    <t>Fibres estimés</t>
  </si>
  <si>
    <t>Ecart avec l'estimation</t>
  </si>
  <si>
    <t>Qtt huile en plus</t>
  </si>
  <si>
    <t>Feculent</t>
  </si>
  <si>
    <t>Legume</t>
  </si>
  <si>
    <t>HUILE DE BASE</t>
  </si>
  <si>
    <t>Singulier/Pluriel AUTO</t>
  </si>
  <si>
    <t>K2 - Légumes %</t>
  </si>
  <si>
    <t>K2 - Huiles %</t>
  </si>
  <si>
    <t>Ka - Légumes %</t>
  </si>
  <si>
    <t>Ka - Huiles %</t>
  </si>
  <si>
    <t>Kc - Légumes %</t>
  </si>
  <si>
    <t>Kc - Huiles %</t>
  </si>
  <si>
    <t>K4 - Légumes %</t>
  </si>
  <si>
    <t>K4 - Huiles %</t>
  </si>
  <si>
    <t>K3' - Légumes %</t>
  </si>
  <si>
    <t>K3' - Huiles %</t>
  </si>
  <si>
    <t>K3 - Légumes %</t>
  </si>
  <si>
    <t>K3 - Huiles %</t>
  </si>
  <si>
    <t>Qtt (unit)</t>
  </si>
  <si>
    <t>SEUIL DES ŒUFS</t>
  </si>
  <si>
    <t>CORRECTION AUTOMATIQUE DE L'HUILE FORMULE "PRO BARF"</t>
  </si>
  <si>
    <t>APPORT EN VIANDE THEORIQUE</t>
  </si>
  <si>
    <t>GESTION DES SEUILS D'ALERTES NUTRITIONNELLES</t>
  </si>
  <si>
    <t>DOSE MAX POSSIBLE</t>
  </si>
  <si>
    <t>PLAFOND HUILE</t>
  </si>
  <si>
    <t>Humidité estimée en %</t>
  </si>
  <si>
    <t>1 œuf entier cru</t>
  </si>
  <si>
    <t>1 œuf entier cuit</t>
  </si>
  <si>
    <t>2 œufs entiers crus</t>
  </si>
  <si>
    <t>2 œufs entiers cuits</t>
  </si>
  <si>
    <t>3 œufs entiers crus</t>
  </si>
  <si>
    <t>3 œufs entiers cuits</t>
  </si>
  <si>
    <t>4 œufs entiers crus</t>
  </si>
  <si>
    <t>4 œufs entiers cuits</t>
  </si>
  <si>
    <t>5 œufs entiers crus</t>
  </si>
  <si>
    <t>5 œufs entiers cuits</t>
  </si>
  <si>
    <t>6 œufs entiers crus</t>
  </si>
  <si>
    <t>6 œufs entiers cuits</t>
  </si>
  <si>
    <t>7 œufs entiers crus</t>
  </si>
  <si>
    <t>7 œufs entiers cuits</t>
  </si>
  <si>
    <t>8 œufs entiers crus</t>
  </si>
  <si>
    <t>8 œufs entiers cuits</t>
  </si>
  <si>
    <t>Husky (lignée "de maison")</t>
  </si>
  <si>
    <t>Husky (lignée de travail)</t>
  </si>
  <si>
    <t>Merci de remplir les petites cases grises</t>
  </si>
  <si>
    <t>Avec la formule manuelle vous devez vous assurer de couvrir TOUS les besoins nutritionnels de votre chien !</t>
  </si>
  <si>
    <t>Quantité d'œuf trop importante, calcul de ration impossible</t>
  </si>
  <si>
    <t>Normal (1h de sortie)</t>
  </si>
  <si>
    <t>Actif / sportif (+1h30 de sortie)</t>
  </si>
  <si>
    <t>Calme (moins d'1h de sortie)</t>
  </si>
  <si>
    <t>Très calme (que le jardin)</t>
  </si>
  <si>
    <t>Hyperactif / grand sportif (+2h)</t>
  </si>
  <si>
    <t>CLASSEMENT DES CMV</t>
  </si>
  <si>
    <t>CLASSEMENT DES FORMULES</t>
  </si>
  <si>
    <t>SUPER PREMIUM (riche en viande)</t>
  </si>
  <si>
    <t>ECO MALIN (spécial petit budget)</t>
  </si>
  <si>
    <t>Bien retirer les arrêtes !</t>
  </si>
  <si>
    <t>d'huile de hareng</t>
  </si>
  <si>
    <t>d'huile de sardine</t>
  </si>
  <si>
    <t>d'huile de saumon</t>
  </si>
  <si>
    <t>Huile de Noix</t>
  </si>
  <si>
    <t>Huile de germe de blé</t>
  </si>
  <si>
    <t>Huile de bourrache</t>
  </si>
  <si>
    <t>d'huile de Noix</t>
  </si>
  <si>
    <t>d'huile de germe de blé</t>
  </si>
  <si>
    <t>d'huile de bourrache</t>
  </si>
  <si>
    <t>Huile ISIO 4</t>
  </si>
  <si>
    <t>d'huile ISIO 4</t>
  </si>
  <si>
    <t>Une option est elle choisie ?</t>
  </si>
  <si>
    <t>Brassé 0%</t>
  </si>
  <si>
    <t>Lait entier crème</t>
  </si>
  <si>
    <t>Fromage blanc</t>
  </si>
  <si>
    <t>Simple</t>
  </si>
  <si>
    <t>Brassé</t>
  </si>
  <si>
    <t>Lait entier</t>
  </si>
  <si>
    <t>Light 0%</t>
  </si>
  <si>
    <t>yaourt nature brassé 0%</t>
  </si>
  <si>
    <t>yaourt nature simple</t>
  </si>
  <si>
    <t>yaourt nature brassé</t>
  </si>
  <si>
    <t>yaourt nature au lait entier</t>
  </si>
  <si>
    <t>yaourt nature light 0%</t>
  </si>
  <si>
    <t>Lait de brebis</t>
  </si>
  <si>
    <t>Lait de chèvre 0%</t>
  </si>
  <si>
    <t>1/2 pot</t>
  </si>
  <si>
    <t>Son d'avoine</t>
  </si>
  <si>
    <t>Option Yaourt COMPLETE (avec qtt !)</t>
  </si>
  <si>
    <t>ACTIVATION YAOURT</t>
  </si>
  <si>
    <t>2 pots</t>
  </si>
  <si>
    <t>1 pot</t>
  </si>
  <si>
    <t>1 cuil. à soupe</t>
  </si>
  <si>
    <t xml:space="preserve">   1 = si au moins une option est choisie</t>
  </si>
  <si>
    <t>A faire très cuire et à écraser</t>
  </si>
  <si>
    <t>A cuire très très longtemps !</t>
  </si>
  <si>
    <t>A reconstituer avec de l'eau chaude</t>
  </si>
  <si>
    <t>A faire bien cuire à l’eau ou vapeur</t>
  </si>
  <si>
    <t>A faire bouillir à l'eau non salée</t>
  </si>
  <si>
    <t>A faire bien bien cuire</t>
  </si>
  <si>
    <t>A faire bien cuire</t>
  </si>
  <si>
    <t>A bien mixer et cuire</t>
  </si>
  <si>
    <t>Juste rincé ou bien cuit</t>
  </si>
  <si>
    <t>En boîte ou surgelés</t>
  </si>
  <si>
    <t>d'huile de colza</t>
  </si>
  <si>
    <t>Tous les jours, sauf si huile de poisson</t>
  </si>
  <si>
    <t>1 à 3 fois par semaine maximum</t>
  </si>
  <si>
    <t>d'huile de pépins de raisin</t>
  </si>
  <si>
    <t>1 à 2 fois par semaine maximum</t>
  </si>
  <si>
    <t>A couper en petits morceaux</t>
  </si>
  <si>
    <t>Préparé en omelette</t>
  </si>
  <si>
    <t>Rapport qualité/prix</t>
  </si>
  <si>
    <t>Réhydrater 10-15min à l’eau chaude</t>
  </si>
  <si>
    <t>A donner de préférence très mûre</t>
  </si>
  <si>
    <t>DONNEES APPARTENANT A</t>
  </si>
  <si>
    <t>CROQUETTES COMMENT CHOISIR</t>
  </si>
  <si>
    <t>UTILISATION</t>
  </si>
  <si>
    <t>DIFFUSION</t>
  </si>
  <si>
    <t>COPIE</t>
  </si>
  <si>
    <t>STRICTEMENT INTERDITE !!!!!!!!!!</t>
  </si>
  <si>
    <t>CAS DU "SON DE…"</t>
  </si>
  <si>
    <t>STD (0)</t>
  </si>
  <si>
    <t>PDS (1)</t>
  </si>
  <si>
    <t>Calcul par le poids g/kg</t>
  </si>
  <si>
    <t>MISE EN ORDRE DES CHOIX FORMULES / CMV + AIDE DE PREPARATION</t>
  </si>
  <si>
    <t>AIDE FECULENTS</t>
  </si>
  <si>
    <t>AIDE LEGUMES</t>
  </si>
  <si>
    <t>AIDE HUILES</t>
  </si>
  <si>
    <t>En "bon" français</t>
  </si>
  <si>
    <t>TEXTE INFORMATION ZONE 3</t>
  </si>
  <si>
    <t>TEXTE INFORMATION ZONE 2</t>
  </si>
  <si>
    <t>AIDE A LA PREPARATION</t>
  </si>
  <si>
    <t>Trouvable en pharmacie</t>
  </si>
  <si>
    <t>Le moins cher en sénior</t>
  </si>
  <si>
    <t>Féculents</t>
  </si>
  <si>
    <t/>
  </si>
  <si>
    <t>LISTE HUILE</t>
  </si>
  <si>
    <t>LISTE LEGUMES</t>
  </si>
  <si>
    <t>LISTE FECULENTS</t>
  </si>
  <si>
    <t>LISTE VIANDES</t>
  </si>
  <si>
    <t>SI calcul par poids g/kg</t>
  </si>
  <si>
    <t>REMPLISSAGE AUTOMATIQUE                                                               REMPLISSAGE AUTOMATIQUE                                                               REMPLISSAGE AUTOMATIQUE                                                               REMPLISSAGE AUTOMATIQUE</t>
  </si>
  <si>
    <t>Œufs</t>
  </si>
  <si>
    <t>OPTION 1 : ŒUFS</t>
  </si>
  <si>
    <t>OPTION 2 : YAOURTS</t>
  </si>
  <si>
    <t>d'aubergine cuite</t>
  </si>
  <si>
    <t>d'endive cuite</t>
  </si>
  <si>
    <t>de brocoli cuit</t>
  </si>
  <si>
    <t>de carotte cuite</t>
  </si>
  <si>
    <t>de céleri branche cuit</t>
  </si>
  <si>
    <t>de citrouille cuite</t>
  </si>
  <si>
    <t>de courge spaghetti cuite</t>
  </si>
  <si>
    <t>de courgette (avec peau) cuite</t>
  </si>
  <si>
    <t>de haricot vert cuit</t>
  </si>
  <si>
    <t>de haricot vert surgelé cuit</t>
  </si>
  <si>
    <t>de haricot vert en conserve cuit</t>
  </si>
  <si>
    <t>de petits pois carottes cuits</t>
  </si>
  <si>
    <t>de son d'avoine</t>
  </si>
  <si>
    <t>de flocon d'avoine cuit</t>
  </si>
  <si>
    <t>de flocon de riz cuit</t>
  </si>
  <si>
    <t>de patate douce cuite</t>
  </si>
  <si>
    <t>de pâtes sèches (aux œufs) cuites</t>
  </si>
  <si>
    <t>de pâtes sèches (standard) cuites</t>
  </si>
  <si>
    <t>de pomme de terre cuite à l'eau</t>
  </si>
  <si>
    <t>de purée mousline reconstituée</t>
  </si>
  <si>
    <t>de riz blanc cuit</t>
  </si>
  <si>
    <t>de tapioca cuit</t>
  </si>
  <si>
    <t>de banane plantain cuite</t>
  </si>
  <si>
    <t>de quinoa cuit</t>
  </si>
  <si>
    <t>de faux-filet de boeuf cru</t>
  </si>
  <si>
    <t>de faux-filet de boeuf cuit</t>
  </si>
  <si>
    <t>de rumsteck de bœuf cru</t>
  </si>
  <si>
    <t>de rumsteck de bœuf cuit</t>
  </si>
  <si>
    <t>de boeuf à bourguignon cru</t>
  </si>
  <si>
    <t>de boeuf à bourguignon cuit</t>
  </si>
  <si>
    <t>de bœuf en steak haché (5% MG) cru</t>
  </si>
  <si>
    <t>de bœuf en steak haché (5% MG) cuit</t>
  </si>
  <si>
    <t>de bœuf en steak haché (15% MG) cru</t>
  </si>
  <si>
    <t>de bœuf en steak haché (15% MG) cuit</t>
  </si>
  <si>
    <t>de viande de canard crue</t>
  </si>
  <si>
    <t>de viande de canard cuite</t>
  </si>
  <si>
    <t>de faux-filet de cheval cru</t>
  </si>
  <si>
    <t>de faux-filet de cheval cuit</t>
  </si>
  <si>
    <t>d'escalope de dinde crue</t>
  </si>
  <si>
    <t>d'escalope de dinde cuite</t>
  </si>
  <si>
    <t>de viande de lapin crue</t>
  </si>
  <si>
    <t>de viande de lapin cuite</t>
  </si>
  <si>
    <t>d'épaule de porc crue</t>
  </si>
  <si>
    <t>de filet maigre de porc cru</t>
  </si>
  <si>
    <t>de filet maigre de porc bien cuit</t>
  </si>
  <si>
    <t>de filet (sans peau) de poulet cru</t>
  </si>
  <si>
    <t>de filet (sans peau) de poulet cuit</t>
  </si>
  <si>
    <t>de collier de veau cuit</t>
  </si>
  <si>
    <t>de collier de veau cru</t>
  </si>
  <si>
    <t>d'escalope de veau crue</t>
  </si>
  <si>
    <t>d'escalope de veau cuite</t>
  </si>
  <si>
    <t>de pavé de cabillaud bien cuit</t>
  </si>
  <si>
    <t>de pavé de colin bien cuit</t>
  </si>
  <si>
    <t>de pavé de saumon cuit</t>
  </si>
  <si>
    <t>de sardines entières fraîches</t>
  </si>
  <si>
    <t>Banane</t>
  </si>
  <si>
    <t>de banane (bien mûre)</t>
  </si>
  <si>
    <t>Mon chien n'aime pas les légumes</t>
  </si>
  <si>
    <t>de céreri rave (en purée) cuit</t>
  </si>
  <si>
    <t>de topinambour cuit</t>
  </si>
  <si>
    <t>de potiron cuit</t>
  </si>
  <si>
    <t>Marge haute</t>
  </si>
  <si>
    <t>Marge basse</t>
  </si>
  <si>
    <t>Kcal cible et réel</t>
  </si>
  <si>
    <t>Ecart et Ecart %</t>
  </si>
  <si>
    <t>Kcal ration seuil haut</t>
  </si>
  <si>
    <t>Kcal ration seuil bas</t>
  </si>
  <si>
    <t>% tolérance AUTO</t>
  </si>
  <si>
    <t>% écart admis</t>
  </si>
  <si>
    <t>Ecart réel de kcal en %</t>
  </si>
  <si>
    <t>Son poids IDEAL</t>
  </si>
  <si>
    <t>en kg</t>
  </si>
  <si>
    <t>Sa race</t>
  </si>
  <si>
    <t>Son activité</t>
  </si>
  <si>
    <t>Son stade de vie</t>
  </si>
  <si>
    <t>Est-il stérilisé</t>
  </si>
  <si>
    <t>Son état corporel</t>
  </si>
  <si>
    <t>Son lieu de vie</t>
  </si>
  <si>
    <t>Type de formule</t>
  </si>
  <si>
    <t>Choix du CMV</t>
  </si>
  <si>
    <t>Yaourt nature</t>
  </si>
  <si>
    <t>et qtt de yaourt</t>
  </si>
  <si>
    <t>SEUIL KCAL ET % MARGE</t>
  </si>
  <si>
    <t>*** R&amp;D ***  KCAL SUR MARGE D'ERREUR</t>
  </si>
  <si>
    <t>CHECK AA16 (kcal) + R63 (œuf)</t>
  </si>
  <si>
    <t>MESSAGE ALERTE PROBLEME NUTRITIONNEL</t>
  </si>
  <si>
    <t>PREPARATION DES MESSAGES D'ALERTES</t>
  </si>
  <si>
    <t>Texte 1</t>
  </si>
  <si>
    <t>Texte 2</t>
  </si>
  <si>
    <t>Trop faible</t>
  </si>
  <si>
    <t xml:space="preserve">Trop élevé </t>
  </si>
  <si>
    <t>MESSAGE ALERTE % MS</t>
  </si>
  <si>
    <t>TABLEAU DE BORD DES FONCTIONS AVANCEES</t>
  </si>
  <si>
    <t>ACTIVATION</t>
  </si>
  <si>
    <t>ETAT</t>
  </si>
  <si>
    <t>TYPE DE FONCTION</t>
  </si>
  <si>
    <t>VALEUR</t>
  </si>
  <si>
    <t>SWITCH</t>
  </si>
  <si>
    <t>actif</t>
  </si>
  <si>
    <t>inactif</t>
  </si>
  <si>
    <t>Vérification de la quantité d'œuf en fonction du poid vif de l'animal</t>
  </si>
  <si>
    <t>Activation ou désactivation du CMV à des fins de tests ou de démonstration pour les sceptiques</t>
  </si>
  <si>
    <t>CETTE PAGE EST RESERVEE A LA PROGRAMMATION DU CALCULATEUR - NE PAS MODIFIER</t>
  </si>
  <si>
    <t>Correction automatique de la quantité de viandes si inférieure à celle des féculents dans la gamelle finale</t>
  </si>
  <si>
    <t xml:space="preserve">Correction du CALCIUM par rapport au BEE : </t>
  </si>
  <si>
    <t>Lipide à ajouter (arrondi)</t>
  </si>
  <si>
    <t>EPA</t>
  </si>
  <si>
    <t>DHA</t>
  </si>
  <si>
    <t>CALCUL DES ACIDES GRAS OMEGA-3</t>
  </si>
  <si>
    <t>* VIDE *</t>
  </si>
  <si>
    <t>Yaourts</t>
  </si>
  <si>
    <t>DONNEES CIQUAL</t>
  </si>
  <si>
    <t>Viandes</t>
  </si>
  <si>
    <t xml:space="preserve">ESTIMATION </t>
  </si>
  <si>
    <t>TYPE</t>
  </si>
  <si>
    <t xml:space="preserve">A bien mixer </t>
  </si>
  <si>
    <t>de carotte crue</t>
  </si>
  <si>
    <t>de courgette (avec peau) crue</t>
  </si>
  <si>
    <t>A donner en petits morceaux ou mixée</t>
  </si>
  <si>
    <t>de concombre cru</t>
  </si>
  <si>
    <t>de mâche (salade) crue</t>
  </si>
  <si>
    <t>Aubergine - CUITE</t>
  </si>
  <si>
    <t>Brocoli - CUIT</t>
  </si>
  <si>
    <t>Carotte - CRUE</t>
  </si>
  <si>
    <t>Carotte - CUITE</t>
  </si>
  <si>
    <t>Céleri branche - CUIT</t>
  </si>
  <si>
    <t>Citrouille - CUITE</t>
  </si>
  <si>
    <t>Courge musquée - CUITE</t>
  </si>
  <si>
    <t>Courge spaghetti - CUITE</t>
  </si>
  <si>
    <t>Courgette avec peau - CRUE</t>
  </si>
  <si>
    <t>Courgette avec peau - CUITE</t>
  </si>
  <si>
    <t>Concombre avec peau - CRU</t>
  </si>
  <si>
    <t>Endive - CUITE</t>
  </si>
  <si>
    <t>Haricot vert - CUIT</t>
  </si>
  <si>
    <t>Haricot vert surgelé - CUIT</t>
  </si>
  <si>
    <t>Haricot vert en conserve - CUIT</t>
  </si>
  <si>
    <t>Potiron - CUIT</t>
  </si>
  <si>
    <t>Topinambour - CUIT</t>
  </si>
  <si>
    <t xml:space="preserve">Mâche, salade - CRUE </t>
  </si>
  <si>
    <t>Petits pois, carottes - CUITS</t>
  </si>
  <si>
    <t>Flocon d'avoine - CUIT</t>
  </si>
  <si>
    <t>Flocon de riz - CUIT</t>
  </si>
  <si>
    <t>Patate douce - CUITE</t>
  </si>
  <si>
    <t>Pâtes sèches aux œufs - CUITES</t>
  </si>
  <si>
    <t>Pâtes sèches standard - CUITES</t>
  </si>
  <si>
    <t>Pomme de terre - CUITE</t>
  </si>
  <si>
    <t>Purée mousline reconstituée</t>
  </si>
  <si>
    <t>Riz blanc - CUIT</t>
  </si>
  <si>
    <t>Tapioca - CUIT</t>
  </si>
  <si>
    <t>Banane plantain - CUITE</t>
  </si>
  <si>
    <t>Quinoa - CUIT</t>
  </si>
  <si>
    <t>Boeuf à bourguignon - CRU</t>
  </si>
  <si>
    <t>Boeuf à bourguignon - CUIT</t>
  </si>
  <si>
    <t>Bœuf, faux-filet - CRU</t>
  </si>
  <si>
    <t>Bœuf, faux-filet - CUIT</t>
  </si>
  <si>
    <t>Bœuf, rumsteck - CRU</t>
  </si>
  <si>
    <t>Bœuf, rumsteck - CUIT</t>
  </si>
  <si>
    <t>Canard, viande - CRUE</t>
  </si>
  <si>
    <t>Canard, viande - CUITE</t>
  </si>
  <si>
    <t>Cheval, faux-filet - CRU</t>
  </si>
  <si>
    <t>Cheval, faux-filet - CUIT</t>
  </si>
  <si>
    <t>Dinde, escalope - CRUE</t>
  </si>
  <si>
    <t>Dinde, escalope - CUITE</t>
  </si>
  <si>
    <t>Lapin, viande - CRUE</t>
  </si>
  <si>
    <t>Lapin, viande - CUITE</t>
  </si>
  <si>
    <t>Porc, épaule - CRUE</t>
  </si>
  <si>
    <t>Porc, épaule - CUITE</t>
  </si>
  <si>
    <t>Veau, collier - CRU</t>
  </si>
  <si>
    <t>Veau, collier - CUIT</t>
  </si>
  <si>
    <t>Veau, escalope - CRUE</t>
  </si>
  <si>
    <t>Veau, escalope - CUITE</t>
  </si>
  <si>
    <t>Sardines fraîches - ENTIERES</t>
  </si>
  <si>
    <t>Sardine (conserve) - DEJA CUITES</t>
  </si>
  <si>
    <t>Estimation / Absence de données ou de cohérence</t>
  </si>
  <si>
    <t xml:space="preserve">Attention dans les tables dont CIQUAL : "sardine" désigne seulement le filet ! Cf tables du danemark </t>
  </si>
  <si>
    <t>Sprat entier - CRU</t>
  </si>
  <si>
    <t>de sardines entières en conserve</t>
  </si>
  <si>
    <t>de sprats entiers et crus</t>
  </si>
  <si>
    <t>d'œufs entiers bien cuit</t>
  </si>
  <si>
    <t>de blanc d'œufs bien cuit</t>
  </si>
  <si>
    <t>Apport Kcal   /!\ "Son de" /!\</t>
  </si>
  <si>
    <t>not use</t>
  </si>
  <si>
    <t>PRE-ALERTE (à XX% du seuil, dans le même ordre)</t>
  </si>
  <si>
    <t>SEUIL REGLABLE</t>
  </si>
  <si>
    <t>Ca g/Mcal BEE minimum [AUTO] :</t>
  </si>
  <si>
    <t>P (min)</t>
  </si>
  <si>
    <t>Ca (min)</t>
  </si>
  <si>
    <t>n-6 (min)</t>
  </si>
  <si>
    <t>Ca (max)</t>
  </si>
  <si>
    <t>P (max)</t>
  </si>
  <si>
    <t>CA et P / Mcal BEE</t>
  </si>
  <si>
    <t>n-6 / Mcal BEE</t>
  </si>
  <si>
    <t>SANS ARRONDI</t>
  </si>
  <si>
    <t>ARRONDI SUP</t>
  </si>
  <si>
    <t>ARRONDI INF</t>
  </si>
  <si>
    <t>n-6 (min) [OFF]</t>
  </si>
  <si>
    <t>CA total (INF) / Mcal BEE</t>
  </si>
  <si>
    <t>CA total (SUP) / Mcal BEE</t>
  </si>
  <si>
    <t>INF = 0 ; SUP = 1</t>
  </si>
  <si>
    <t>Nbr Doses optimisées</t>
  </si>
  <si>
    <t>SEUILS EN g / Mcal de BEE (CCC)</t>
  </si>
  <si>
    <t>de viande de cuisse de poulet crue</t>
  </si>
  <si>
    <t>de viande de cuisse de poulet cuite</t>
  </si>
  <si>
    <t>Extérieur (vers +20°c)</t>
  </si>
  <si>
    <t>Extérieur (hiver &lt; 0°c)</t>
  </si>
  <si>
    <t>Extérieur (hiver +10°c)</t>
  </si>
  <si>
    <t>Affenpinscher</t>
  </si>
  <si>
    <t>Akita Inu</t>
  </si>
  <si>
    <t>Altdeutscher Schäferhund</t>
  </si>
  <si>
    <t>American Staffordshire Terrier</t>
  </si>
  <si>
    <t>Ariégois</t>
  </si>
  <si>
    <t>Azawakh</t>
  </si>
  <si>
    <t>Basset Artesien Normand</t>
  </si>
  <si>
    <t>Basset Bleu de Gascogne</t>
  </si>
  <si>
    <t>Basset Fauve de Bretagne</t>
  </si>
  <si>
    <t>Basset Hound</t>
  </si>
  <si>
    <t>Bearded Collie</t>
  </si>
  <si>
    <t>Berger Allemand</t>
  </si>
  <si>
    <t>Berger Australien</t>
  </si>
  <si>
    <t>Berger Belge Gronendael</t>
  </si>
  <si>
    <t>Berger Belge Laekenois</t>
  </si>
  <si>
    <t>Berger Belge Tervueren</t>
  </si>
  <si>
    <t>Berger Blanc Suisse</t>
  </si>
  <si>
    <t>Berger d’Anatolie</t>
  </si>
  <si>
    <t>Berger de Brie</t>
  </si>
  <si>
    <t>Berger des Shetland</t>
  </si>
  <si>
    <t>Berger Finnois de Laponie</t>
  </si>
  <si>
    <t>Berger Hollandais</t>
  </si>
  <si>
    <t>Berger Picard</t>
  </si>
  <si>
    <t>Bichon Havanais</t>
  </si>
  <si>
    <t>Bobtail</t>
  </si>
  <si>
    <t>Border Collie</t>
  </si>
  <si>
    <t>Boston Terrier</t>
  </si>
  <si>
    <t>Bouledogue Américain</t>
  </si>
  <si>
    <t>Bouledogue Français</t>
  </si>
  <si>
    <t>Bouvier Bernois</t>
  </si>
  <si>
    <t>Bouvier de l'Entlebuch</t>
  </si>
  <si>
    <t>Bouvier Australien</t>
  </si>
  <si>
    <t>Bouvier des Ardennes</t>
  </si>
  <si>
    <t>Braque Allemand</t>
  </si>
  <si>
    <t>Braque d'Auvergne</t>
  </si>
  <si>
    <t>Braque de Weimar</t>
  </si>
  <si>
    <t>Braque Français</t>
  </si>
  <si>
    <t>Braque Hongrois</t>
  </si>
  <si>
    <t>Bull Terrier</t>
  </si>
  <si>
    <t>Bulldog Anglais</t>
  </si>
  <si>
    <t>Caniche Grand</t>
  </si>
  <si>
    <t>Caniche Moyen</t>
  </si>
  <si>
    <t>Caniche Nain</t>
  </si>
  <si>
    <t>Caniche Toy</t>
  </si>
  <si>
    <t>Carlin</t>
  </si>
  <si>
    <t>Cane Corso</t>
  </si>
  <si>
    <t>Chien Chinois à crète</t>
  </si>
  <si>
    <t>Chien d'eau Espagnol</t>
  </si>
  <si>
    <t>Chien d'eau Italien</t>
  </si>
  <si>
    <t>Chien d’Elan Norvégien</t>
  </si>
  <si>
    <t>Chien Finnois de Laponie</t>
  </si>
  <si>
    <t>Chihuahua</t>
  </si>
  <si>
    <t>Clumber Spaniel</t>
  </si>
  <si>
    <t>Cocker Anglais</t>
  </si>
  <si>
    <t>Cocker Spaniel</t>
  </si>
  <si>
    <t>Colley</t>
  </si>
  <si>
    <t>Coton de Tuléar</t>
  </si>
  <si>
    <t>Curly-Coated Retriever</t>
  </si>
  <si>
    <t>Dalmatien</t>
  </si>
  <si>
    <t>Dandie Dinmont Terrier</t>
  </si>
  <si>
    <t>Deerhound</t>
  </si>
  <si>
    <t>Dogue Allemand</t>
  </si>
  <si>
    <t>Dogue argentin</t>
  </si>
  <si>
    <t>Dogue de bordeaux</t>
  </si>
  <si>
    <t>Dogue du tibet</t>
  </si>
  <si>
    <t>Drahthaar</t>
  </si>
  <si>
    <t>Epagneul Français</t>
  </si>
  <si>
    <t>Epagneul Japonais</t>
  </si>
  <si>
    <t>Epagneul Papillon</t>
  </si>
  <si>
    <t>Epagneul tibétain</t>
  </si>
  <si>
    <t>Eurasier</t>
  </si>
  <si>
    <t>Flat Coated Retriever</t>
  </si>
  <si>
    <t>Fox terrier</t>
  </si>
  <si>
    <t>Golden Retriever</t>
  </si>
  <si>
    <t>Grand bouvier suisse</t>
  </si>
  <si>
    <t>Greyhound</t>
  </si>
  <si>
    <t>Griffon Belge</t>
  </si>
  <si>
    <t>Griffon Bleu de Gascogne</t>
  </si>
  <si>
    <t>Griffon Fauve de Bourgogne</t>
  </si>
  <si>
    <t>Jack russel</t>
  </si>
  <si>
    <t>Kelpie Australien</t>
  </si>
  <si>
    <t>King Charles Spaniel</t>
  </si>
  <si>
    <t>Komondor</t>
  </si>
  <si>
    <t>Labrador Retriever</t>
  </si>
  <si>
    <t>Lagotto Romagnolo</t>
  </si>
  <si>
    <t>Landseer</t>
  </si>
  <si>
    <t>Levrier Ecossais</t>
  </si>
  <si>
    <t>Levrier Espagnol</t>
  </si>
  <si>
    <t>Levrier Hongrois</t>
  </si>
  <si>
    <t>Lévrier Polonais</t>
  </si>
  <si>
    <t>Manchester Terrier</t>
  </si>
  <si>
    <t>Mâtin de Naples</t>
  </si>
  <si>
    <t>Mâtin Espagnol</t>
  </si>
  <si>
    <t>Parson Russel Terrier</t>
  </si>
  <si>
    <t>Pekinois</t>
  </si>
  <si>
    <t>Petit Brabançon</t>
  </si>
  <si>
    <t>Petit Chien Lion</t>
  </si>
  <si>
    <t>Pinscher Moyen</t>
  </si>
  <si>
    <t>Pinscher Nain</t>
  </si>
  <si>
    <t>Pointer</t>
  </si>
  <si>
    <t>Porcelaine</t>
  </si>
  <si>
    <t>Ratier de Prague</t>
  </si>
  <si>
    <t>Rhodesian Ridgeback</t>
  </si>
  <si>
    <t>Saint Hubert</t>
  </si>
  <si>
    <t>Schnauzer Géant</t>
  </si>
  <si>
    <t>Schnauzer Moyen</t>
  </si>
  <si>
    <t>Schnauzer Nain</t>
  </si>
  <si>
    <t>Scottish Terrier</t>
  </si>
  <si>
    <t>Setter Gordon</t>
  </si>
  <si>
    <t>Shar Pei</t>
  </si>
  <si>
    <t>Shiba Inu</t>
  </si>
  <si>
    <t>Spitz Allemand Moyen</t>
  </si>
  <si>
    <t>Spitz Allemand Nain</t>
  </si>
  <si>
    <t>Spitz japonais</t>
  </si>
  <si>
    <t>Spitz Loup</t>
  </si>
  <si>
    <t>Springer Anglais</t>
  </si>
  <si>
    <t>Terrier Irlandais</t>
  </si>
  <si>
    <t>Vallhund Suédois</t>
  </si>
  <si>
    <t>Welsh Terrier</t>
  </si>
  <si>
    <t>West Highland White Terrier</t>
  </si>
  <si>
    <t>Whippet</t>
  </si>
  <si>
    <t>Berger de Beauce</t>
  </si>
  <si>
    <t>Border Terrier</t>
  </si>
  <si>
    <t>Coefficient K3</t>
  </si>
  <si>
    <t>Si K3  &lt; ou = 1</t>
  </si>
  <si>
    <t xml:space="preserve">Si K3  &gt; 1 et &lt; 2 </t>
  </si>
  <si>
    <t>Si K3  &gt; ou = 2</t>
  </si>
  <si>
    <t>CMV 
OPTIMISATION
K3</t>
  </si>
  <si>
    <t>Seuil minimum CMV FINAL</t>
  </si>
  <si>
    <t>Activation ou désactivation de la fonction intelligente d'optimisation de la dose de CMV</t>
  </si>
  <si>
    <t>Agepi Omega 3 et 6</t>
  </si>
  <si>
    <t>gélule Agepi Omega 3 et 6</t>
  </si>
  <si>
    <t>En gélule de 1 gramme</t>
  </si>
  <si>
    <t>SI calcul par unité/kg</t>
  </si>
  <si>
    <t>&gt; 0 si gélule</t>
  </si>
  <si>
    <t>Txt Std</t>
  </si>
  <si>
    <t>Poids idéal</t>
  </si>
  <si>
    <t>Txt Gelule</t>
  </si>
  <si>
    <t>Qtt gélule</t>
  </si>
  <si>
    <t>Txt Final</t>
  </si>
  <si>
    <t>GELULE AGEPI - MENTION SPECIALE CHARLOTTE ^^</t>
  </si>
  <si>
    <t>dose(s)</t>
  </si>
  <si>
    <t>HUILE PREDICTIF (g)</t>
  </si>
  <si>
    <t>en g et kcal</t>
  </si>
  <si>
    <t>Equivalent en g d'huile  |  Calcul (g) final avec plafond</t>
  </si>
  <si>
    <t>HUILE EN MODE "MANUEL"</t>
  </si>
  <si>
    <t>% kcal visé</t>
  </si>
  <si>
    <t>g huile</t>
  </si>
  <si>
    <t>kcal huile</t>
  </si>
  <si>
    <t>% kcal / BE</t>
  </si>
  <si>
    <t>INFORMATIONS</t>
  </si>
  <si>
    <t>Poids total estimé (g)</t>
  </si>
  <si>
    <t>Lipides estimés (g)</t>
  </si>
  <si>
    <t>Protéines estimés (g)</t>
  </si>
  <si>
    <t>Glucides estimés (g)</t>
  </si>
  <si>
    <t>Cendres estimés (g)</t>
  </si>
  <si>
    <t>Fibres estimés (g)</t>
  </si>
  <si>
    <t>TOTAL (g)</t>
  </si>
  <si>
    <t>CMV (fixe)</t>
  </si>
  <si>
    <t>TABLEAU PREDICTIF DES CONSTITUANTS ANALYTIQUES</t>
  </si>
  <si>
    <t>Shih Tzu</t>
  </si>
  <si>
    <t>Ca g/Mcal BEE LIMITE HAUTE</t>
  </si>
  <si>
    <t>Ca g/Mcal BEE LIMITE BASSE</t>
  </si>
  <si>
    <t>Ca g/Mcal BEE CIBLE</t>
  </si>
  <si>
    <t>SYSTÈME ANTI DEPASSEMENT MIN/MAX</t>
  </si>
  <si>
    <t>Ca/P (min 1 fixe)</t>
  </si>
  <si>
    <t>Ca g/Mcal BEE BASSE</t>
  </si>
  <si>
    <t>VIANDE +</t>
  </si>
  <si>
    <t>2ème viande</t>
  </si>
  <si>
    <t>Proportion (%)</t>
  </si>
  <si>
    <t>CALCULS DES CONSTITUANTS ANALYTIQUES DU MIXTE VIANDE</t>
  </si>
  <si>
    <t>Viande #1</t>
  </si>
  <si>
    <t>Viande #2</t>
  </si>
  <si>
    <t>Quantité (%)</t>
  </si>
  <si>
    <t>Kcal</t>
  </si>
  <si>
    <t>Viande "virtuelle"</t>
  </si>
  <si>
    <t>VIANDE_VIRTUELLE</t>
  </si>
  <si>
    <t>Viande virtuelle (g) calculée</t>
  </si>
  <si>
    <t>Viande #1 (g)</t>
  </si>
  <si>
    <t>Viande #2 (g)</t>
  </si>
  <si>
    <t>&lt; vide &gt;</t>
  </si>
  <si>
    <t>Poids TOTAL arrondi</t>
  </si>
  <si>
    <t>FLAG DECALAGE RECETTE</t>
  </si>
  <si>
    <t>AFFICHAGE LIGNES RECETTE</t>
  </si>
  <si>
    <t>Options</t>
  </si>
  <si>
    <t>* vide *</t>
  </si>
  <si>
    <t>AIDE VIANDES #1</t>
  </si>
  <si>
    <t>AIDE VIANDES #2</t>
  </si>
  <si>
    <t>#2 si &lt;&gt; #1</t>
  </si>
  <si>
    <t>GESTION COEF HUILE</t>
  </si>
  <si>
    <t>SP</t>
  </si>
  <si>
    <t>ECP</t>
  </si>
  <si>
    <t>RAW</t>
  </si>
  <si>
    <t>Prise en compte VDS 1</t>
  </si>
  <si>
    <t>Prise en compte VDS 2</t>
  </si>
  <si>
    <t>FLAG I15</t>
  </si>
  <si>
    <t>FLAG I15 = I11</t>
  </si>
  <si>
    <t>TOTAL FLAG</t>
  </si>
  <si>
    <t xml:space="preserve">   données calnut</t>
  </si>
  <si>
    <t xml:space="preserve"> estimation</t>
  </si>
  <si>
    <t>CONDITIONNEMENT</t>
  </si>
  <si>
    <t>1/2 DOSE</t>
  </si>
  <si>
    <t>1/4 DOSE</t>
  </si>
  <si>
    <t>Nbr Unités</t>
  </si>
  <si>
    <t>Condi</t>
  </si>
  <si>
    <t>FLAG CMV VIANDE 1</t>
  </si>
  <si>
    <t>FLAG CMV FINAL</t>
  </si>
  <si>
    <t>FLAG CMV VIANDE 2</t>
  </si>
  <si>
    <t>CORRECTION SI FECULENT &gt; VIANDE EN POIDS</t>
  </si>
  <si>
    <t>Courge butternut - CUITE</t>
  </si>
  <si>
    <t>de courge musquée cuite</t>
  </si>
  <si>
    <t>de courge butternut cuite</t>
  </si>
  <si>
    <t xml:space="preserve">   données estimées</t>
  </si>
  <si>
    <t>% SI COEF VIANDE = 0</t>
  </si>
  <si>
    <t>Fenouil - CUIT</t>
  </si>
  <si>
    <t>de fenouil cuit</t>
  </si>
  <si>
    <t>MODE</t>
  </si>
  <si>
    <t>CORRECTION HUILE MIN.</t>
  </si>
  <si>
    <t>APPORT EN FECULENT THEORIQUE</t>
  </si>
  <si>
    <t>1. ETAT</t>
  </si>
  <si>
    <t>1. CORRECTION HUILE</t>
  </si>
  <si>
    <t>2. ETAT</t>
  </si>
  <si>
    <t>2. CORRECTION HUILE MIN.</t>
  </si>
  <si>
    <t>Qtt huile théorique</t>
  </si>
  <si>
    <t>% minimum</t>
  </si>
  <si>
    <t>PLANCHER LEGUMES</t>
  </si>
  <si>
    <t>Apport minimum (%)</t>
  </si>
  <si>
    <t>Apport maximum (%)</t>
  </si>
  <si>
    <t>Poulet, viande de cuisse - CRUE</t>
  </si>
  <si>
    <t>Poulet, viande de cuisse - CUITE</t>
  </si>
  <si>
    <t>Cuisse à désosser entièrement</t>
  </si>
  <si>
    <t>Bœuf, steak haché 5% MG - CRU</t>
  </si>
  <si>
    <t>Bœuf, steak haché 5% MG - CUIT</t>
  </si>
  <si>
    <t>Bœuf, steak haché 15% MG - CRU</t>
  </si>
  <si>
    <t>Bœuf, steak haché 15% MG - CUIT</t>
  </si>
  <si>
    <t>Porc, filet maigre - CRU</t>
  </si>
  <si>
    <t>Porc, filet maigre - BIEN CUIT</t>
  </si>
  <si>
    <t>Poulet, filet sans peau - CRU</t>
  </si>
  <si>
    <t>Poulet, filet sans peau - CUIT</t>
  </si>
  <si>
    <t>Œuf de poule, entier - BIEN CUIT</t>
  </si>
  <si>
    <t>Œuf de poule, blanc - BIEN CUIT</t>
  </si>
  <si>
    <t>Oeuf(s) de poule</t>
  </si>
  <si>
    <t>yaourt au lait entier avec crème</t>
  </si>
  <si>
    <t>yaourt au lait entier de chèvre</t>
  </si>
  <si>
    <t>yaourt au lait de brebis</t>
  </si>
  <si>
    <t>yaourt type fromage blanc</t>
  </si>
  <si>
    <t>yaourt au lait de chèvre 0%</t>
  </si>
  <si>
    <t>GESTION DES ARRONDIS 2/5/10 GRAMMES EN FONCTION DU BE (spéciale dédicace à Mylène)</t>
  </si>
  <si>
    <t>BE</t>
  </si>
  <si>
    <t>SEUIL kcal</t>
  </si>
  <si>
    <t>FLAG</t>
  </si>
  <si>
    <t xml:space="preserve">   0 = 5/10g</t>
  </si>
  <si>
    <t xml:space="preserve">   1 = 2/5g (par défaut)</t>
  </si>
  <si>
    <t>Arrondi Flag 1</t>
  </si>
  <si>
    <t>Arrondi Flag 2</t>
  </si>
  <si>
    <t>Arrondi FINAL</t>
  </si>
  <si>
    <t>Sans arrondi</t>
  </si>
  <si>
    <t>Emplacement et description</t>
  </si>
  <si>
    <t>[AG24] féculent super premium</t>
  </si>
  <si>
    <t>[AG26] féculent eco malin</t>
  </si>
  <si>
    <t>[W25] féculent final</t>
  </si>
  <si>
    <t>[AG21] légume final</t>
  </si>
  <si>
    <t>[AE24] viande super premium</t>
  </si>
  <si>
    <t>[AE26] viande eco malin</t>
  </si>
  <si>
    <t>[AE27] viande pro barf</t>
  </si>
  <si>
    <t>[AF75] féculent prédiction eco malin</t>
  </si>
  <si>
    <t>[AG75] légume prédiction eco malin</t>
  </si>
  <si>
    <t>ARRONDI</t>
  </si>
  <si>
    <t>[ATTENTION] arrondi si g/kg = 0</t>
  </si>
  <si>
    <t>[AN76] viande prédiction pro barf</t>
  </si>
  <si>
    <t>[AP76] légume prédiction pro barf</t>
  </si>
  <si>
    <t>[AO94] féculent prédiction super premium</t>
  </si>
  <si>
    <t>[AP94] légume prédiction super premium</t>
  </si>
  <si>
    <t>[AZ16] viande #1 finale</t>
  </si>
  <si>
    <t xml:space="preserve"> ARRONDI</t>
  </si>
  <si>
    <t>[AZ17] viande #2 finale</t>
  </si>
  <si>
    <t>1 entier cru</t>
  </si>
  <si>
    <t>1 entier cuit</t>
  </si>
  <si>
    <t>2 entiers crus</t>
  </si>
  <si>
    <t>2 entiers cuits</t>
  </si>
  <si>
    <t>3 entiers crus</t>
  </si>
  <si>
    <t>3 entiers cuits</t>
  </si>
  <si>
    <t>4 entiers crus</t>
  </si>
  <si>
    <t>4 entiers cuits</t>
  </si>
  <si>
    <t>5 entiers crus</t>
  </si>
  <si>
    <t>5 entiers cuits</t>
  </si>
  <si>
    <t>6 entiers crus</t>
  </si>
  <si>
    <t>6 entiers cuits</t>
  </si>
  <si>
    <t>7 entiers crus</t>
  </si>
  <si>
    <t>7 entiers cuits</t>
  </si>
  <si>
    <t>8 entiers crus</t>
  </si>
  <si>
    <t>8 entiers cuits</t>
  </si>
  <si>
    <t>Lait entier chèvre</t>
  </si>
  <si>
    <t>Felini complete</t>
  </si>
  <si>
    <t>Felini renal</t>
  </si>
  <si>
    <t>SCORE</t>
  </si>
  <si>
    <t>NOS PETITS CONSEILS</t>
  </si>
  <si>
    <t>A alterner avec de l'huile de poisson</t>
  </si>
  <si>
    <t>Peut être utilisée tous les jours</t>
  </si>
  <si>
    <t>Ration trop riche en kcal, calcul de ration impossible</t>
  </si>
  <si>
    <t>CaC / CaS conversion</t>
  </si>
  <si>
    <t>1/2 U.</t>
  </si>
  <si>
    <t>SEUIL</t>
  </si>
  <si>
    <t>CaC / CaS</t>
  </si>
  <si>
    <t>Final</t>
  </si>
  <si>
    <t>Gestion du texte CaC / CaS</t>
  </si>
  <si>
    <t>CaC</t>
  </si>
  <si>
    <t>CaS</t>
  </si>
  <si>
    <t>Unité d'huile (g)</t>
  </si>
  <si>
    <t>Seuil C &gt; S</t>
  </si>
  <si>
    <t>Eco Malin</t>
  </si>
  <si>
    <t>Premium</t>
  </si>
  <si>
    <t>RPC AJUSTEMENT</t>
  </si>
  <si>
    <t>RPC
ajustement
(page CTRL)</t>
  </si>
  <si>
    <t>g protéines</t>
  </si>
  <si>
    <t>Sofcanis adu./croiss. comprimé</t>
  </si>
  <si>
    <t>Sofcanis adu./croiss. poudre</t>
  </si>
  <si>
    <r>
      <t xml:space="preserve">Le </t>
    </r>
    <r>
      <rPr>
        <b/>
        <sz val="10.5"/>
        <color indexed="8"/>
        <rFont val="Gill Sans MT"/>
        <family val="2"/>
      </rPr>
      <t>poids idéal</t>
    </r>
    <r>
      <rPr>
        <sz val="10.5"/>
        <color indexed="8"/>
        <rFont val="Gill Sans MT"/>
        <family val="2"/>
      </rPr>
      <t xml:space="preserve"> correspond au poids de forme de votre chien
Pour un </t>
    </r>
    <r>
      <rPr>
        <b/>
        <sz val="10.5"/>
        <color indexed="8"/>
        <rFont val="Gill Sans MT"/>
        <family val="2"/>
      </rPr>
      <t>chiot</t>
    </r>
    <r>
      <rPr>
        <sz val="10.5"/>
        <color indexed="8"/>
        <rFont val="Gill Sans MT"/>
        <family val="2"/>
      </rPr>
      <t xml:space="preserve">, ne surtout </t>
    </r>
    <r>
      <rPr>
        <sz val="10.5"/>
        <color indexed="8"/>
        <rFont val="Gill Sans MT"/>
        <family val="2"/>
      </rPr>
      <t>pas mettre le poids adulte !</t>
    </r>
  </si>
  <si>
    <t>K sanitaire *2 alerte huile</t>
  </si>
  <si>
    <t>Kyli Poudre de vimin</t>
  </si>
  <si>
    <t>Disponible en Suisse</t>
  </si>
  <si>
    <t>DOSAGE FRACTION</t>
  </si>
  <si>
    <t>Dose (g)</t>
  </si>
  <si>
    <t>Mode de calcul</t>
  </si>
  <si>
    <t>comprimés</t>
  </si>
  <si>
    <t>doses</t>
  </si>
  <si>
    <t>cuillères doseuses</t>
  </si>
  <si>
    <t>Levure de bière +</t>
  </si>
  <si>
    <t>comprimé</t>
  </si>
  <si>
    <t>dose</t>
  </si>
  <si>
    <t>cuillère doseuse</t>
  </si>
  <si>
    <t>Format (singulier)</t>
  </si>
  <si>
    <t>Format (pluriel)</t>
  </si>
  <si>
    <t>Huile "brute" en grammes</t>
  </si>
  <si>
    <t>ARRONDI HUILE
MODE MANUEL</t>
  </si>
  <si>
    <t>CODE MANUEL</t>
  </si>
  <si>
    <t>NON EGAL A 100 EN ROUGE</t>
  </si>
  <si>
    <t>MANUELLE (code requis)</t>
  </si>
  <si>
    <t>rpc</t>
  </si>
  <si>
    <t>Amélioration Qtt légumes / fibres</t>
  </si>
  <si>
    <t>LEGS AJUST</t>
  </si>
  <si>
    <t>% Level 1</t>
  </si>
  <si>
    <t>% Level 2</t>
  </si>
  <si>
    <t>% Level 3</t>
  </si>
  <si>
    <t>AJUSTEMENT DES FIBRES / LEGUMES</t>
  </si>
  <si>
    <t>APPORT DES LEGUMES STANDARD</t>
  </si>
  <si>
    <t>COEF AJUSTEMENT FIBRES ET LEGUMES</t>
  </si>
  <si>
    <t>Formules</t>
  </si>
  <si>
    <t>Standard</t>
  </si>
  <si>
    <t>Correction</t>
  </si>
  <si>
    <t>Ajusté</t>
  </si>
  <si>
    <t>% FINAL</t>
  </si>
  <si>
    <t>FACON DEVAUX 10% BEE + DDE</t>
  </si>
  <si>
    <t>CCC ORIGINAL</t>
  </si>
  <si>
    <t>Certaines valeurs nutritionnelles sont proches des limites recommandées</t>
  </si>
  <si>
    <t>Certaines valeurs nutritionnelles dépassent les limites recommandées</t>
  </si>
  <si>
    <t>1. Determination du besoin énergétique</t>
  </si>
  <si>
    <t>2. Elaboration du menu</t>
  </si>
  <si>
    <t>3. Recette de ration ménagère</t>
  </si>
  <si>
    <t>Le top du top des CMV !</t>
  </si>
  <si>
    <t>Notre menu maxi best of</t>
  </si>
  <si>
    <t>TYPE DE FORMULE STANDARD/MIXTE</t>
  </si>
  <si>
    <t>100% ration ménagère</t>
  </si>
  <si>
    <t>50% RM / 50% croquettes</t>
  </si>
  <si>
    <t>Mode de ration</t>
  </si>
  <si>
    <t>Vit'i5 Rouge conseillé</t>
  </si>
  <si>
    <t>MIXTE</t>
  </si>
  <si>
    <t>En menu 50% RM uniquement</t>
  </si>
  <si>
    <t>Un excellent choix</t>
  </si>
  <si>
    <t>Facteur MODE MIXTE</t>
  </si>
  <si>
    <t>Facteur VIT'I5 ROUGE</t>
  </si>
  <si>
    <t>Facteur cumulé</t>
  </si>
  <si>
    <t>Message de conseil</t>
  </si>
  <si>
    <t>Activation</t>
  </si>
  <si>
    <t>Si ration MIXTE (X101 &lt; 1) alors
/!\  CA CIBLE = LIMITE BASSE  /!\</t>
  </si>
  <si>
    <t>MISE A JOUR</t>
  </si>
  <si>
    <t>Bœuf, steak haché 10% MG - CRU</t>
  </si>
  <si>
    <t>Bœuf, steak haché 10% MG - CUIT</t>
  </si>
  <si>
    <t>de bœuf en steak haché (10% MG) cru</t>
  </si>
  <si>
    <t>de bœuf en steak haché (10% MG) cuit</t>
  </si>
  <si>
    <t>https://www.unegamelleautop.fr/</t>
  </si>
  <si>
    <t>Une gamelle au top</t>
  </si>
  <si>
    <t>Vit'i5 Orange (pot 600g)</t>
  </si>
  <si>
    <t>Vit'i5 Rouge (pot 600g pour ration mixte)</t>
  </si>
  <si>
    <t>Vit'i5 Orange (pot 250g)</t>
  </si>
  <si>
    <t>Vit'i5 Rouge (pot 250g pour ration mixte)</t>
  </si>
  <si>
    <t>Vit'i5 Bleu (pot 600g pour chien agé)</t>
  </si>
  <si>
    <t>Vit'i5 Bleu (pot 250g pour chien agé)</t>
  </si>
  <si>
    <t xml:space="preserve">
Son d'avoine : à donner tel quel dans la gamelle</t>
  </si>
  <si>
    <t>de joëls entiers et crus</t>
  </si>
  <si>
    <t>Joëls entier - CRU</t>
  </si>
  <si>
    <t>Potimarron - CUIT</t>
  </si>
  <si>
    <t>de potimarron cuit</t>
  </si>
  <si>
    <t>de semoule de blé dur cuite non salée</t>
  </si>
  <si>
    <t>A faire bien cuire à l’eau</t>
  </si>
  <si>
    <t>Semoule de blé dur - CUITE</t>
  </si>
  <si>
    <t>SI MIXTE (X101 &lt; 1) prise en compte BE 100%</t>
  </si>
  <si>
    <t>Dose 1/2 (0) ou 1/4 (1)</t>
  </si>
  <si>
    <t>g lipides / Mcal</t>
  </si>
  <si>
    <t>ECO (auto)</t>
  </si>
  <si>
    <t>BARF (auto)</t>
  </si>
  <si>
    <r>
      <rPr>
        <b/>
        <sz val="12"/>
        <color indexed="8"/>
        <rFont val="Gill Sans MT"/>
        <family val="2"/>
      </rPr>
      <t>Antinéa Ecrepont</t>
    </r>
    <r>
      <rPr>
        <sz val="12"/>
        <color indexed="8"/>
        <rFont val="Gill Sans MT"/>
        <family val="2"/>
      </rPr>
      <t xml:space="preserve"> - Docteur en médecine vétérinaire</t>
    </r>
  </si>
  <si>
    <r>
      <rPr>
        <b/>
        <sz val="12"/>
        <color indexed="8"/>
        <rFont val="Gill Sans MT"/>
        <family val="2"/>
      </rPr>
      <t>Charlotte Gnaedinger</t>
    </r>
    <r>
      <rPr>
        <sz val="12"/>
        <color indexed="8"/>
        <rFont val="Gill Sans MT"/>
        <family val="2"/>
      </rPr>
      <t xml:space="preserve"> - Ingénieure Agronome spécialisée en nutrition animale</t>
    </r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</si>
  <si>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Consultant avec double cursus en biologie et informatique</t>
    </r>
  </si>
  <si>
    <t>Alphamix</t>
  </si>
  <si>
    <t>Alphamix sénior</t>
  </si>
  <si>
    <t>L'alternative au Vit'i5</t>
  </si>
  <si>
    <t>cuillère rase sans tasser</t>
  </si>
  <si>
    <t>cuillères rases sans tasser</t>
  </si>
  <si>
    <t>Le CMV de chez Maxi ZOO</t>
  </si>
  <si>
    <t>Première RAW Kitchen</t>
  </si>
  <si>
    <t>gramme (à peser)</t>
  </si>
  <si>
    <t>grammes (à peser)</t>
  </si>
  <si>
    <t>Le CMV made in Belgique</t>
  </si>
  <si>
    <t>Vitamin Optimix Sensitive</t>
  </si>
  <si>
    <t>Minimum</t>
  </si>
  <si>
    <t>Qtt de légumes</t>
  </si>
  <si>
    <t>Normale</t>
  </si>
  <si>
    <t>Augmentée</t>
  </si>
  <si>
    <t>Réduite</t>
  </si>
  <si>
    <t>v4.08</t>
  </si>
  <si>
    <t>LEGS</t>
  </si>
  <si>
    <t>Filet de mulet - CUIT</t>
  </si>
  <si>
    <t>Filet de maquereau - CUIT</t>
  </si>
  <si>
    <t>de filet de lieu noir cuit</t>
  </si>
  <si>
    <t>de filet de mulet cuit</t>
  </si>
  <si>
    <t>de filet de maquereau cuit</t>
  </si>
  <si>
    <t>de longe de porc crue</t>
  </si>
  <si>
    <t>de longe de porc bien cuite</t>
  </si>
  <si>
    <t>d'épaule de porc bien cuite</t>
  </si>
  <si>
    <t>CA / P max recommandé g/mcal</t>
  </si>
  <si>
    <t>Ca (max reco)</t>
  </si>
  <si>
    <t>P (max reco)</t>
  </si>
  <si>
    <t>Base de données nutritionnelle</t>
  </si>
  <si>
    <t>CIQUAL 2020</t>
  </si>
  <si>
    <t>UNE GAMELLE AU TOP</t>
  </si>
  <si>
    <t>STRICTEMENT INTERDITE</t>
  </si>
  <si>
    <t>SOUS PEINE DE POURSUITES</t>
  </si>
  <si>
    <t>LOCK ACTIVITE</t>
  </si>
  <si>
    <t>LOCK ACTIVITE CHIOT</t>
  </si>
  <si>
    <t>0 = pas de lock</t>
  </si>
  <si>
    <t>1 = lock activité normale</t>
  </si>
  <si>
    <t>Rouge de Bavière</t>
  </si>
  <si>
    <t>Wäller</t>
  </si>
  <si>
    <t>Silken Windhound</t>
  </si>
  <si>
    <t>POIDS</t>
  </si>
  <si>
    <t>RACE</t>
  </si>
  <si>
    <t>STADE DE VIE</t>
  </si>
  <si>
    <t>ACTIVITE</t>
  </si>
  <si>
    <t>STERILISATION</t>
  </si>
  <si>
    <t>ETAT CORPOREL</t>
  </si>
  <si>
    <t>LIEU DE VIE</t>
  </si>
  <si>
    <t>LEGUMES</t>
  </si>
  <si>
    <t>FORMULE</t>
  </si>
  <si>
    <t>VIANDES</t>
  </si>
  <si>
    <t>FECULENTS</t>
  </si>
  <si>
    <t>HUILES</t>
  </si>
  <si>
    <t>Formule économique</t>
  </si>
  <si>
    <t>PRO BARF (sans féculent)</t>
  </si>
  <si>
    <t>LOW CARB (peu de féculent)</t>
  </si>
  <si>
    <t>LC</t>
  </si>
  <si>
    <t>Faible teneur en amidon</t>
  </si>
  <si>
    <t>Sans aucun amidon</t>
  </si>
  <si>
    <t>CORRECTION AUTOMATIQUE DE L'HUILE FORMULE "SUPER PREMIUM" et "LOW CARB"</t>
  </si>
  <si>
    <t>0,5 = lock barf</t>
  </si>
  <si>
    <t>LOW CARB</t>
  </si>
  <si>
    <t>Facteur</t>
  </si>
  <si>
    <t>Porc, longe - CRUE</t>
  </si>
  <si>
    <t>Porc, longe - CUITE</t>
  </si>
  <si>
    <t>SEUIL PRE-ALERTE FIBRE</t>
  </si>
  <si>
    <r>
      <t xml:space="preserve">Pas de panique ! 
Toutes les données demandées concernent 
</t>
    </r>
    <r>
      <rPr>
        <b/>
        <sz val="11"/>
        <color indexed="8"/>
        <rFont val="Gill Sans MT"/>
        <family val="2"/>
      </rPr>
      <t>VOTRE CHIEN</t>
    </r>
    <r>
      <rPr>
        <sz val="11"/>
        <color indexed="8"/>
        <rFont val="Gill Sans MT"/>
        <family val="2"/>
      </rPr>
      <t xml:space="preserve"> que vous connaissez bien</t>
    </r>
  </si>
  <si>
    <t>Les concepteurs</t>
  </si>
  <si>
    <t>Cet outil a été imaginé et conçu initialement par :</t>
  </si>
  <si>
    <t>Responsable de la maintenance, des évolutions et de l'hébergement :</t>
  </si>
  <si>
    <r>
      <rPr>
        <b/>
        <sz val="12"/>
        <color indexed="8"/>
        <rFont val="Gill Sans MT"/>
        <family val="2"/>
      </rPr>
      <t>Damien Dehon</t>
    </r>
    <r>
      <rPr>
        <sz val="12"/>
        <color indexed="8"/>
        <rFont val="Gill Sans MT"/>
        <family val="2"/>
      </rPr>
      <t xml:space="preserve"> - damien@unegamelleautop.fr</t>
    </r>
  </si>
  <si>
    <t>www.unegamelleautop.fr</t>
  </si>
  <si>
    <t>Vitamin Optimix Cooking</t>
  </si>
  <si>
    <t xml:space="preserve">Chiot (&lt; 10kg adulte) 3 à 4 mois </t>
  </si>
  <si>
    <t xml:space="preserve">Chiot (&lt; 10kg adulte) 5 à 7 mois </t>
  </si>
  <si>
    <t xml:space="preserve">Chiot (&lt; 10kg adulte) 8 à 10 mois </t>
  </si>
  <si>
    <t xml:space="preserve">Chiot (10-20kg adulte) 3 à 5 mois </t>
  </si>
  <si>
    <t>Chiot (10-20kg adulte) 6 à 9 mois</t>
  </si>
  <si>
    <t>Chiot (10-20kg adulte) 10 à 12 mois</t>
  </si>
  <si>
    <t xml:space="preserve">Chiot (20-35kg adulte) 3 à 6 mois </t>
  </si>
  <si>
    <t xml:space="preserve">Chiot (20-35kg adulte) 7 à 8 mois </t>
  </si>
  <si>
    <t xml:space="preserve">Chiot (35-50kg adulte) 6 à 7 mois </t>
  </si>
  <si>
    <t xml:space="preserve">Chiot (35-50kg adulte) 8 à 13 mois </t>
  </si>
  <si>
    <t xml:space="preserve">Chiot (&gt; 50kg adulte) 7 à 8 mois </t>
  </si>
  <si>
    <t xml:space="preserve">Chiot (&gt; 50kg adulte) 9 à 13 mois </t>
  </si>
  <si>
    <t>RPC dépassé (marge +10)</t>
  </si>
  <si>
    <t>Senior (8 ans et plus)</t>
  </si>
  <si>
    <t>CUILLERE CONTENANT STANDARD</t>
  </si>
  <si>
    <t>grammes</t>
  </si>
  <si>
    <t>Berger Américain</t>
  </si>
  <si>
    <t>(seuil min Ca + cible Ca/Mcal BEE * 2) / 3</t>
  </si>
  <si>
    <t>(seuil min Ca + cible Ca/Mcal BEE * 2 - 0,12) / 3</t>
  </si>
  <si>
    <t>(seuil min Ca + cible Ca/Mcal BEE * 2 + 0,09) / 3</t>
  </si>
  <si>
    <t>Kai</t>
  </si>
  <si>
    <t>Céleri rave - CUIT</t>
  </si>
  <si>
    <t>Agneau, épaule maigre - CRUE</t>
  </si>
  <si>
    <t>Agneau, épaule maigre - CUITE</t>
  </si>
  <si>
    <t>de viande maigre d'agneau crue</t>
  </si>
  <si>
    <t>de viande maigre d'agneau cuite</t>
  </si>
  <si>
    <t>Pavé de cabillaud - CUIT</t>
  </si>
  <si>
    <t>Pavé de colin - CUIT</t>
  </si>
  <si>
    <t>Filet de lieu noir - CUIT</t>
  </si>
  <si>
    <t>Pavé de saumon - CUIT</t>
  </si>
  <si>
    <t xml:space="preserve">
Maquereau : poisson très gras à n'utiliser qu'occasionnellement</t>
  </si>
  <si>
    <t xml:space="preserve">
Sardine en conserve : déjà cuite, à donner entière</t>
  </si>
  <si>
    <t xml:space="preserve">
Sardine fraîche : à congeler au MINIMUM pendant 2 semaines</t>
  </si>
  <si>
    <t xml:space="preserve">
Blan d'œuf : idéal pour un menu pauvre en phosphore</t>
  </si>
  <si>
    <t>Dinde, viande de cuisse - CRUE</t>
  </si>
  <si>
    <t>Dinde, viande de cuisse - CUITE</t>
  </si>
  <si>
    <t>de viande de cuisse de dinde crue</t>
  </si>
  <si>
    <t>de viande de cuisse de dinde cuite</t>
  </si>
  <si>
    <t xml:space="preserve">
Flocon : la quantité crue est environ 3 fois moindre avant cuisson</t>
  </si>
  <si>
    <t xml:space="preserve">
Patate douce : à donner écrasée voire en purée</t>
  </si>
  <si>
    <t xml:space="preserve">
Pâtes : la quantité crue est environ 3 fois moindre avant cuisson</t>
  </si>
  <si>
    <t xml:space="preserve">
Riz : la quantité crue est environ 3 fois moindre avant cuisson</t>
  </si>
  <si>
    <t xml:space="preserve">
Tapioca : la quantité crue est environ 3 fois moindre avant cuisson</t>
  </si>
  <si>
    <t xml:space="preserve">
Banane : à ne pas donner tous les jours</t>
  </si>
  <si>
    <t>ESTIMATION</t>
  </si>
  <si>
    <t>La quantité de CMV ne peut pas être calculée par l'outil dans ce cas de figure</t>
  </si>
  <si>
    <t>Ca/P &lt; 1</t>
  </si>
  <si>
    <r>
      <rPr>
        <sz val="24"/>
        <color indexed="9"/>
        <rFont val="Gill Sans MT"/>
        <family val="2"/>
      </rPr>
      <t>Calculateur de ration ménagère (rm) pour Chien</t>
    </r>
    <r>
      <rPr>
        <sz val="8"/>
        <color indexed="9"/>
        <rFont val="Gill Sans MT"/>
        <family val="2"/>
      </rPr>
      <t xml:space="preserve">
</t>
    </r>
    <r>
      <rPr>
        <sz val="9"/>
        <color indexed="9"/>
        <rFont val="Gill Sans MT"/>
        <family val="2"/>
      </rPr>
      <t>Version 6.03  13/01/2025</t>
    </r>
  </si>
  <si>
    <r>
      <t xml:space="preserve">Boost de l'huile, en mode ECO, à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si la quantité de féculent &gt; quantité de viande</t>
    </r>
  </si>
  <si>
    <r>
      <t xml:space="preserve">Blocage de la quantité d'huile à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des apports en kcal</t>
    </r>
  </si>
  <si>
    <r>
      <t xml:space="preserve">Boost automatique de l'huile, en mode PRO BARF, pour avoir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</t>
    </r>
  </si>
  <si>
    <r>
      <t xml:space="preserve">Division au 1/4 de dose (Vit'i5) et 1/2 dose (Félini) pour les BE &lt; </t>
    </r>
    <r>
      <rPr>
        <sz val="11"/>
        <color theme="0"/>
        <rFont val="Calibri"/>
        <family val="2"/>
      </rPr>
      <t>XXX</t>
    </r>
  </si>
  <si>
    <r>
      <t xml:space="preserve">Taux minimum de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en formule SUPER PREMIUM</t>
    </r>
  </si>
  <si>
    <r>
      <t xml:space="preserve">Taux minimum de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lipides sur MS en formule ECO</t>
    </r>
  </si>
  <si>
    <r>
      <t xml:space="preserve">Plafond maximum en </t>
    </r>
    <r>
      <rPr>
        <sz val="11"/>
        <color theme="0"/>
        <rFont val="Calibri"/>
        <family val="2"/>
      </rPr>
      <t>XX</t>
    </r>
    <r>
      <rPr>
        <sz val="11"/>
        <color theme="0"/>
        <rFont val="Calibri"/>
        <family val="2"/>
        <scheme val="minor"/>
      </rPr>
      <t xml:space="preserve"> % de BE de la part des légumes dans la ration</t>
    </r>
  </si>
  <si>
    <r>
      <t>Gestion des arrondis en 2/5 grammes ou en 5/10 grammes suivant le</t>
    </r>
    <r>
      <rPr>
        <sz val="11"/>
        <color theme="0"/>
        <rFont val="Calibri"/>
        <family val="2"/>
      </rPr>
      <t xml:space="preserve"> BE</t>
    </r>
  </si>
  <si>
    <r>
      <t>SEUILS ALERTE COMPOSITION ANALYTIQUE (</t>
    </r>
    <r>
      <rPr>
        <b/>
        <sz val="14"/>
        <color theme="0"/>
        <rFont val="Calibri"/>
        <family val="2"/>
      </rPr>
      <t>FEDIAF 2016)</t>
    </r>
  </si>
  <si>
    <r>
      <t xml:space="preserve">Poids métabolique  |  </t>
    </r>
    <r>
      <rPr>
        <sz val="11"/>
        <color theme="0"/>
        <rFont val="Calibri"/>
        <family val="2"/>
      </rPr>
      <t>BE "brut"</t>
    </r>
  </si>
  <si>
    <r>
      <t xml:space="preserve">BEE   | </t>
    </r>
    <r>
      <rPr>
        <sz val="11"/>
        <color theme="0"/>
        <rFont val="Calibri"/>
        <family val="2"/>
      </rPr>
      <t xml:space="preserve"> BE (minimum 50% du BEE)</t>
    </r>
  </si>
  <si>
    <r>
      <t xml:space="preserve">Qtt Protéines (g/j) minimum  |  </t>
    </r>
    <r>
      <rPr>
        <sz val="11"/>
        <color theme="0"/>
        <rFont val="Calibri"/>
        <family val="2"/>
      </rPr>
      <t>Kcal options</t>
    </r>
  </si>
  <si>
    <r>
      <t>Qtt Protéines (g/j) optimisé CCC  |</t>
    </r>
    <r>
      <rPr>
        <sz val="11"/>
        <color theme="0"/>
        <rFont val="Calibri"/>
        <family val="2"/>
      </rPr>
      <t xml:space="preserve">  RPC super premium</t>
    </r>
  </si>
  <si>
    <r>
      <t xml:space="preserve">% MS lipides cible si </t>
    </r>
    <r>
      <rPr>
        <sz val="11"/>
        <color theme="0"/>
        <rFont val="Calibri"/>
        <family val="2"/>
      </rPr>
      <t>BOOST</t>
    </r>
  </si>
  <si>
    <r>
      <t xml:space="preserve">Qtt huile théorique | </t>
    </r>
    <r>
      <rPr>
        <sz val="11"/>
        <color theme="0"/>
        <rFont val="Calibri"/>
        <family val="2"/>
      </rPr>
      <t>FINALE</t>
    </r>
  </si>
  <si>
    <r>
      <t xml:space="preserve">% MS lipides cible si </t>
    </r>
    <r>
      <rPr>
        <sz val="11"/>
        <color theme="0"/>
        <rFont val="Calibri"/>
        <family val="2"/>
      </rPr>
      <t>REGUL</t>
    </r>
  </si>
  <si>
    <r>
      <t xml:space="preserve">Qtt huile théorique | </t>
    </r>
    <r>
      <rPr>
        <b/>
        <sz val="11"/>
        <color theme="0"/>
        <rFont val="Calibri"/>
        <family val="2"/>
      </rPr>
      <t>FINALE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</si>
</sst>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0"/>
    <numFmt numFmtId="179" formatCode="0.0000"/>
    <numFmt numFmtId="180" formatCode="0.00000"/>
  </numFmts>
  <fonts count="79">
    <font>
      <sz val="11"/>
      <color theme="1"/>
      <name val="Calibri"/>
      <family val="2"/>
      <scheme val="minor"/>
    </font>
    <font>
      <sz val="12"/>
      <name val="Gill Sans MT"/>
      <family val="2"/>
    </font>
    <font>
      <b/>
      <sz val="12"/>
      <name val="Gill Sans MT"/>
      <family val="2"/>
    </font>
    <font>
      <b/>
      <sz val="20"/>
      <name val="Gill Sans MT"/>
      <family val="2"/>
    </font>
    <font>
      <sz val="20"/>
      <name val="Gill Sans MT"/>
      <family val="2"/>
    </font>
    <font>
      <b/>
      <sz val="13"/>
      <name val="Gill Sans MT"/>
      <family val="2"/>
    </font>
    <font>
      <b/>
      <sz val="10.5"/>
      <color indexed="8"/>
      <name val="Gill Sans MT"/>
      <family val="2"/>
    </font>
    <font>
      <sz val="10.5"/>
      <color indexed="8"/>
      <name val="Gill Sans MT"/>
      <family val="2"/>
    </font>
    <font>
      <b/>
      <sz val="10.5"/>
      <color indexed="8"/>
      <name val="Gill Sans MT"/>
      <family val="2"/>
    </font>
    <font>
      <sz val="10.5"/>
      <color indexed="8"/>
      <name val="Gill Sans MT"/>
      <family val="2"/>
    </font>
    <font>
      <sz val="8"/>
      <color indexed="9"/>
      <name val="Gill Sans MT"/>
      <family val="2"/>
    </font>
    <font>
      <sz val="24"/>
      <color indexed="9"/>
      <name val="Gill Sans MT"/>
      <family val="2"/>
    </font>
    <font>
      <sz val="9"/>
      <color indexed="9"/>
      <name val="Gill Sans MT"/>
      <family val="2"/>
    </font>
    <font>
      <sz val="12"/>
      <color indexed="8"/>
      <name val="Gill Sans MT"/>
      <family val="2"/>
    </font>
    <font>
      <sz val="20"/>
      <color indexed="9"/>
      <name val="Gill Sans MT"/>
      <family val="2"/>
    </font>
    <font>
      <b/>
      <sz val="12"/>
      <color indexed="8"/>
      <name val="Gill Sans MT"/>
      <family val="2"/>
    </font>
    <font>
      <sz val="11"/>
      <color indexed="8"/>
      <name val="Gill Sans MT"/>
      <family val="2"/>
    </font>
    <font>
      <b/>
      <sz val="11"/>
      <color indexed="8"/>
      <name val="Gill Sans MT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Gill Sans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2"/>
      <color theme="0"/>
      <name val="Calibri"/>
      <family val="2"/>
      <scheme val="minor"/>
    </font>
    <font>
      <sz val="11"/>
      <color theme="0"/>
      <name val="Gill Sans MT"/>
      <family val="2"/>
    </font>
    <font>
      <b/>
      <sz val="11"/>
      <color theme="0"/>
      <name val="Gill Sans MT"/>
      <family val="2"/>
    </font>
    <font>
      <sz val="20"/>
      <color theme="0"/>
      <name val="Calibri"/>
      <family val="2"/>
      <scheme val="minor"/>
    </font>
    <font>
      <sz val="11"/>
      <color rgb="FFFF0000"/>
      <name val="Gill Sans MT"/>
      <family val="2"/>
    </font>
    <font>
      <b/>
      <sz val="11"/>
      <color rgb="FFFF0000"/>
      <name val="Gill Sans MT"/>
      <family val="2"/>
    </font>
    <font>
      <b/>
      <sz val="12"/>
      <color rgb="FFFF0000"/>
      <name val="Gill Sans MT"/>
      <family val="2"/>
    </font>
    <font>
      <b/>
      <sz val="10"/>
      <color theme="0"/>
      <name val="Gill Sans MT"/>
      <family val="2"/>
    </font>
    <font>
      <sz val="13"/>
      <color theme="1"/>
      <name val="Gill Sans MT"/>
      <family val="2"/>
    </font>
    <font>
      <b/>
      <sz val="18"/>
      <color theme="0"/>
      <name val="Gill Sans MT"/>
      <family val="2"/>
    </font>
    <font>
      <sz val="11"/>
      <color theme="2" tint="-0.499984740745262"/>
      <name val="Gill Sans MT"/>
      <family val="2"/>
    </font>
    <font>
      <sz val="12"/>
      <color theme="2" tint="-0.499984740745262"/>
      <name val="Gill Sans MT"/>
      <family val="2"/>
    </font>
    <font>
      <sz val="14"/>
      <color theme="1"/>
      <name val="Gill Sans MT"/>
      <family val="2"/>
    </font>
    <font>
      <sz val="1"/>
      <color theme="2" tint="-0.499984740745262"/>
      <name val="Gill Sans MT"/>
      <family val="2"/>
    </font>
    <font>
      <sz val="14"/>
      <color theme="0"/>
      <name val="Gill Sans MT"/>
      <family val="2"/>
    </font>
    <font>
      <sz val="12"/>
      <color theme="4" tint="-0.499984740745262"/>
      <name val="Gill Sans MT"/>
      <family val="2"/>
    </font>
    <font>
      <b/>
      <sz val="12"/>
      <color theme="1"/>
      <name val="Gill Sans MT"/>
      <family val="2"/>
    </font>
    <font>
      <b/>
      <sz val="12"/>
      <color theme="9" tint="-0.249977111117893"/>
      <name val="Gill Sans MT"/>
      <family val="2"/>
    </font>
    <font>
      <sz val="10"/>
      <color theme="5" tint="-0.249977111117893"/>
      <name val="Gill Sans MT"/>
      <family val="2"/>
    </font>
    <font>
      <sz val="10"/>
      <color theme="9" tint="-0.499984740745262"/>
      <name val="Gill Sans MT"/>
      <family val="2"/>
    </font>
    <font>
      <sz val="13"/>
      <color theme="4" tint="-0.499984740745262"/>
      <name val="Gill Sans MT"/>
      <family val="2"/>
    </font>
    <font>
      <b/>
      <sz val="13"/>
      <color rgb="FFFF0000"/>
      <name val="Gill Sans MT"/>
      <family val="2"/>
    </font>
    <font>
      <sz val="11.5"/>
      <color theme="0"/>
      <name val="Gill Sans MT"/>
      <family val="2"/>
    </font>
    <font>
      <sz val="11"/>
      <color theme="3" tint="-0.499984740745262"/>
      <name val="Gill Sans MT"/>
      <family val="2"/>
    </font>
    <font>
      <i/>
      <sz val="11"/>
      <color theme="3" tint="-0.499984740745262"/>
      <name val="Gill Sans MT"/>
      <family val="2"/>
    </font>
    <font>
      <b/>
      <sz val="13"/>
      <color theme="2" tint="-0.499984740745262"/>
      <name val="Gill Sans MT"/>
      <family val="2"/>
    </font>
    <font>
      <sz val="13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0"/>
      <name val="Gill Sans MT"/>
      <family val="2"/>
    </font>
    <font>
      <u/>
      <sz val="15"/>
      <color theme="0"/>
      <name val="Calibri"/>
      <family val="2"/>
      <scheme val="minor"/>
    </font>
    <font>
      <b/>
      <sz val="12"/>
      <color theme="0"/>
      <name val="Gill Sans MT"/>
      <family val="2"/>
    </font>
    <font>
      <b/>
      <sz val="12"/>
      <color theme="2" tint="-0.499984740745262"/>
      <name val="Gill Sans MT"/>
      <family val="2"/>
    </font>
    <font>
      <sz val="16"/>
      <color theme="0"/>
      <name val="Calibri"/>
      <family val="2"/>
      <scheme val="minor"/>
    </font>
    <font>
      <sz val="9"/>
      <color rgb="FFC00000"/>
      <name val="Gill Sans MT"/>
      <family val="2"/>
    </font>
    <font>
      <sz val="11.5"/>
      <color theme="1"/>
      <name val="Gill Sans MT"/>
      <family val="2"/>
    </font>
    <font>
      <sz val="11.5"/>
      <color theme="1"/>
      <name val="Calibri"/>
      <family val="2"/>
      <scheme val="minor"/>
    </font>
    <font>
      <sz val="10.5"/>
      <color theme="1"/>
      <name val="Gill Sans MT"/>
      <family val="2"/>
    </font>
    <font>
      <sz val="10.5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.5"/>
      <color theme="0"/>
      <name val="Gill Sans MT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Lucida Grande"/>
    </font>
    <font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499984740745262"/>
      </right>
      <top/>
      <bottom/>
      <diagonal/>
    </border>
    <border>
      <left style="thin">
        <color theme="0" tint="-4.9989318521683403E-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4.9989318521683403E-2"/>
      </left>
      <right/>
      <top style="hair">
        <color theme="0" tint="-0.499984740745262"/>
      </top>
      <bottom/>
      <diagonal/>
    </border>
    <border>
      <left/>
      <right style="thin">
        <color theme="0" tint="-4.9989318521683403E-2"/>
      </right>
      <top style="hair">
        <color theme="0" tint="-0.499984740745262"/>
      </top>
      <bottom/>
      <diagonal/>
    </border>
    <border>
      <left style="thin">
        <color theme="0" tint="-4.9989318521683403E-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8764000366222"/>
      </right>
      <top style="thin">
        <color theme="0" tint="-0.149906918546098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76400036622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458815271462"/>
      </bottom>
      <diagonal/>
    </border>
    <border>
      <left/>
      <right style="thin">
        <color theme="0" tint="-0.1498764000366222"/>
      </right>
      <top/>
      <bottom style="thin">
        <color theme="0" tint="-0.1498458815271462"/>
      </bottom>
      <diagonal/>
    </border>
    <border>
      <left/>
      <right/>
      <top style="thin">
        <color theme="0" tint="-0.149845881527146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4.9989318521683403E-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0.1498764000366222"/>
      </left>
      <right/>
      <top style="thin">
        <color theme="0" tint="-0.14990691854609822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0" borderId="0"/>
  </cellStyleXfs>
  <cellXfs count="30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5" fillId="2" borderId="0" xfId="0" applyFont="1" applyFill="1" applyAlignment="1">
      <alignment horizontal="center" vertical="center"/>
    </xf>
    <xf numFmtId="2" fontId="24" fillId="2" borderId="6" xfId="0" applyNumberFormat="1" applyFont="1" applyFill="1" applyBorder="1" applyAlignment="1">
      <alignment horizontal="left" vertical="top"/>
    </xf>
    <xf numFmtId="0" fontId="24" fillId="2" borderId="7" xfId="0" applyFont="1" applyFill="1" applyBorder="1" applyAlignment="1">
      <alignment horizontal="center" vertical="center"/>
    </xf>
    <xf numFmtId="0" fontId="24" fillId="7" borderId="8" xfId="0" applyFont="1" applyFill="1" applyBorder="1" applyAlignment="1" applyProtection="1">
      <alignment horizontal="center" vertical="center"/>
      <protection locked="0"/>
    </xf>
    <xf numFmtId="0" fontId="1" fillId="9" borderId="7" xfId="0" applyFont="1" applyFill="1" applyBorder="1" applyAlignment="1">
      <alignment horizontal="center" vertical="center"/>
    </xf>
    <xf numFmtId="0" fontId="29" fillId="2" borderId="0" xfId="0" applyFont="1" applyFill="1"/>
    <xf numFmtId="0" fontId="29" fillId="2" borderId="0" xfId="0" applyFont="1" applyFill="1"/>
    <xf numFmtId="20" fontId="1" fillId="7" borderId="9" xfId="0" applyNumberFormat="1" applyFont="1" applyFill="1" applyBorder="1" applyAlignment="1" applyProtection="1">
      <alignment horizontal="center" vertical="center"/>
      <protection locked="0"/>
    </xf>
    <xf numFmtId="0" fontId="1" fillId="7" borderId="8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4" fillId="2" borderId="10" xfId="0" applyFont="1" applyFill="1" applyBorder="1" applyAlignment="1">
      <alignment horizontal="center" vertical="center"/>
    </xf>
    <xf numFmtId="0" fontId="0" fillId="2" borderId="0" xfId="0" applyFill="1"/>
    <xf numFmtId="0" fontId="18" fillId="2" borderId="0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left" vertical="center"/>
    </xf>
    <xf numFmtId="0" fontId="36" fillId="2" borderId="6" xfId="0" applyFont="1" applyFill="1" applyBorder="1" applyAlignment="1">
      <alignment horizontal="left" vertical="center"/>
    </xf>
    <xf numFmtId="2" fontId="36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right" vertical="top"/>
    </xf>
    <xf numFmtId="0" fontId="29" fillId="8" borderId="0" xfId="0" applyFont="1" applyFill="1"/>
    <xf numFmtId="0" fontId="37" fillId="8" borderId="0" xfId="0" applyFont="1" applyFill="1"/>
    <xf numFmtId="0" fontId="38" fillId="8" borderId="0" xfId="0" applyFont="1" applyFill="1"/>
    <xf numFmtId="0" fontId="26" fillId="8" borderId="0" xfId="0" applyFont="1" applyFill="1"/>
    <xf numFmtId="0" fontId="24" fillId="8" borderId="0" xfId="0" applyFont="1" applyFill="1"/>
    <xf numFmtId="0" fontId="39" fillId="8" borderId="0" xfId="0" applyFont="1" applyFill="1"/>
    <xf numFmtId="0" fontId="40" fillId="8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40" fillId="8" borderId="0" xfId="0" applyFont="1" applyFill="1"/>
    <xf numFmtId="2" fontId="39" fillId="8" borderId="0" xfId="0" applyNumberFormat="1" applyFont="1" applyFill="1"/>
    <xf numFmtId="0" fontId="39" fillId="8" borderId="0" xfId="0" applyFont="1" applyFill="1" applyAlignment="1">
      <alignment horizontal="center"/>
    </xf>
    <xf numFmtId="2" fontId="41" fillId="8" borderId="0" xfId="0" applyNumberFormat="1" applyFont="1" applyFill="1"/>
    <xf numFmtId="0" fontId="41" fillId="8" borderId="0" xfId="0" applyFont="1" applyFill="1" applyAlignment="1">
      <alignment horizontal="left" vertical="center"/>
    </xf>
    <xf numFmtId="0" fontId="41" fillId="8" borderId="0" xfId="0" applyFont="1" applyFill="1"/>
    <xf numFmtId="0" fontId="24" fillId="2" borderId="13" xfId="0" applyFont="1" applyFill="1" applyBorder="1" applyAlignment="1">
      <alignment horizontal="right" vertical="center" indent="1"/>
    </xf>
    <xf numFmtId="0" fontId="24" fillId="2" borderId="14" xfId="0" applyFont="1" applyFill="1" applyBorder="1" applyAlignment="1">
      <alignment horizontal="left" vertical="center" indent="1"/>
    </xf>
    <xf numFmtId="2" fontId="1" fillId="2" borderId="13" xfId="0" applyNumberFormat="1" applyFont="1" applyFill="1" applyBorder="1" applyAlignment="1">
      <alignment horizontal="right" vertical="center" indent="1"/>
    </xf>
    <xf numFmtId="0" fontId="24" fillId="2" borderId="13" xfId="0" applyFont="1" applyFill="1" applyBorder="1"/>
    <xf numFmtId="0" fontId="24" fillId="2" borderId="0" xfId="0" applyFont="1" applyFill="1" applyBorder="1"/>
    <xf numFmtId="0" fontId="24" fillId="2" borderId="14" xfId="0" applyFont="1" applyFill="1" applyBorder="1"/>
    <xf numFmtId="2" fontId="5" fillId="2" borderId="13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42" fillId="2" borderId="13" xfId="0" applyNumberFormat="1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2" fontId="24" fillId="2" borderId="0" xfId="0" applyNumberFormat="1" applyFont="1" applyFill="1" applyBorder="1" applyAlignment="1">
      <alignment horizontal="left" vertical="top"/>
    </xf>
    <xf numFmtId="0" fontId="24" fillId="2" borderId="15" xfId="0" applyFont="1" applyFill="1" applyBorder="1"/>
    <xf numFmtId="0" fontId="42" fillId="2" borderId="16" xfId="0" applyFont="1" applyFill="1" applyBorder="1" applyAlignment="1">
      <alignment horizontal="center" vertical="center"/>
    </xf>
    <xf numFmtId="0" fontId="39" fillId="8" borderId="0" xfId="0" applyFont="1" applyFill="1" applyBorder="1"/>
    <xf numFmtId="0" fontId="38" fillId="8" borderId="0" xfId="0" applyFont="1" applyFill="1" applyBorder="1"/>
    <xf numFmtId="0" fontId="24" fillId="2" borderId="17" xfId="0" applyFont="1" applyFill="1" applyBorder="1" applyAlignment="1">
      <alignment horizontal="right" vertical="center" indent="1"/>
    </xf>
    <xf numFmtId="0" fontId="43" fillId="2" borderId="17" xfId="0" applyFont="1" applyFill="1" applyBorder="1" applyAlignment="1">
      <alignment horizontal="left" vertical="center" indent="1"/>
    </xf>
    <xf numFmtId="0" fontId="43" fillId="2" borderId="18" xfId="0" applyFont="1" applyFill="1" applyBorder="1"/>
    <xf numFmtId="0" fontId="34" fillId="2" borderId="13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right" vertical="center"/>
    </xf>
    <xf numFmtId="0" fontId="24" fillId="2" borderId="0" xfId="0" applyFont="1" applyFill="1" applyBorder="1" applyAlignment="1">
      <alignment horizontal="right" vertical="center" indent="1"/>
    </xf>
    <xf numFmtId="0" fontId="43" fillId="2" borderId="0" xfId="0" applyFont="1" applyFill="1" applyBorder="1" applyAlignment="1">
      <alignment horizontal="left" vertical="center" indent="1"/>
    </xf>
    <xf numFmtId="0" fontId="43" fillId="2" borderId="14" xfId="0" applyFont="1" applyFill="1" applyBorder="1"/>
    <xf numFmtId="0" fontId="34" fillId="2" borderId="13" xfId="0" applyFont="1" applyFill="1" applyBorder="1" applyAlignment="1" applyProtection="1">
      <alignment horizontal="right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14" xfId="0" applyFont="1" applyFill="1" applyBorder="1" applyAlignment="1" applyProtection="1">
      <alignment horizontal="center" vertical="center"/>
    </xf>
    <xf numFmtId="0" fontId="44" fillId="2" borderId="13" xfId="0" applyFont="1" applyFill="1" applyBorder="1" applyAlignment="1" applyProtection="1">
      <alignment horizontal="left" vertical="center"/>
    </xf>
    <xf numFmtId="0" fontId="45" fillId="2" borderId="0" xfId="0" applyFont="1" applyFill="1" applyBorder="1" applyAlignment="1" applyProtection="1">
      <alignment horizontal="right" vertical="top"/>
    </xf>
    <xf numFmtId="0" fontId="46" fillId="2" borderId="0" xfId="0" applyFont="1" applyFill="1" applyBorder="1" applyAlignment="1" applyProtection="1">
      <alignment horizontal="center" vertical="top"/>
    </xf>
    <xf numFmtId="0" fontId="47" fillId="2" borderId="14" xfId="0" applyFont="1" applyFill="1" applyBorder="1" applyAlignment="1" applyProtection="1">
      <alignment horizontal="center" vertical="top"/>
    </xf>
    <xf numFmtId="0" fontId="24" fillId="2" borderId="19" xfId="0" applyFont="1" applyFill="1" applyBorder="1" applyAlignment="1">
      <alignment horizontal="right" vertical="center" indent="1"/>
    </xf>
    <xf numFmtId="0" fontId="43" fillId="2" borderId="14" xfId="0" applyFont="1" applyFill="1" applyBorder="1" applyAlignment="1">
      <alignment horizontal="left" vertical="center"/>
    </xf>
    <xf numFmtId="2" fontId="24" fillId="2" borderId="0" xfId="0" applyNumberFormat="1" applyFont="1" applyFill="1" applyBorder="1" applyAlignment="1">
      <alignment horizontal="right" vertical="center" indent="1"/>
    </xf>
    <xf numFmtId="0" fontId="43" fillId="2" borderId="13" xfId="0" applyFont="1" applyFill="1" applyBorder="1" applyAlignment="1">
      <alignment horizontal="right"/>
    </xf>
    <xf numFmtId="0" fontId="43" fillId="2" borderId="0" xfId="0" applyFont="1" applyFill="1" applyBorder="1" applyAlignment="1">
      <alignment horizontal="right"/>
    </xf>
    <xf numFmtId="0" fontId="48" fillId="2" borderId="13" xfId="0" applyFont="1" applyFill="1" applyBorder="1" applyAlignment="1">
      <alignment horizontal="right" vertical="top"/>
    </xf>
    <xf numFmtId="0" fontId="43" fillId="2" borderId="0" xfId="0" applyFont="1" applyFill="1" applyBorder="1" applyAlignment="1">
      <alignment horizontal="right" vertical="top"/>
    </xf>
    <xf numFmtId="0" fontId="36" fillId="2" borderId="0" xfId="0" applyFont="1" applyFill="1" applyBorder="1" applyAlignment="1">
      <alignment horizontal="left" vertical="center"/>
    </xf>
    <xf numFmtId="0" fontId="36" fillId="2" borderId="14" xfId="0" applyFont="1" applyFill="1" applyBorder="1" applyAlignment="1">
      <alignment horizontal="left" vertical="center"/>
    </xf>
    <xf numFmtId="0" fontId="49" fillId="2" borderId="14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vertical="center"/>
    </xf>
    <xf numFmtId="20" fontId="36" fillId="2" borderId="0" xfId="0" applyNumberFormat="1" applyFont="1" applyFill="1" applyBorder="1" applyAlignment="1">
      <alignment vertical="center"/>
    </xf>
    <xf numFmtId="0" fontId="36" fillId="2" borderId="14" xfId="0" applyFont="1" applyFill="1" applyBorder="1" applyAlignment="1">
      <alignment vertical="center"/>
    </xf>
    <xf numFmtId="2" fontId="36" fillId="2" borderId="0" xfId="0" applyNumberFormat="1" applyFont="1" applyFill="1" applyBorder="1" applyAlignment="1">
      <alignment horizontal="left" vertical="center"/>
    </xf>
    <xf numFmtId="0" fontId="36" fillId="2" borderId="16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50" fillId="2" borderId="24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 indent="1"/>
    </xf>
    <xf numFmtId="0" fontId="52" fillId="5" borderId="0" xfId="0" applyFont="1" applyFill="1" applyBorder="1" applyAlignment="1">
      <alignment horizontal="left" vertical="center"/>
    </xf>
    <xf numFmtId="0" fontId="51" fillId="5" borderId="14" xfId="0" applyFont="1" applyFill="1" applyBorder="1" applyAlignment="1">
      <alignment horizontal="left" vertical="center"/>
    </xf>
    <xf numFmtId="0" fontId="51" fillId="5" borderId="25" xfId="0" applyFont="1" applyFill="1" applyBorder="1" applyAlignment="1">
      <alignment horizontal="left" vertical="center"/>
    </xf>
    <xf numFmtId="0" fontId="51" fillId="5" borderId="25" xfId="0" applyFont="1" applyFill="1" applyBorder="1" applyAlignment="1">
      <alignment horizontal="left" vertical="center" indent="1"/>
    </xf>
    <xf numFmtId="0" fontId="52" fillId="5" borderId="25" xfId="0" applyFont="1" applyFill="1" applyBorder="1" applyAlignment="1">
      <alignment horizontal="left" vertical="center"/>
    </xf>
    <xf numFmtId="0" fontId="51" fillId="5" borderId="26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center" vertical="center"/>
    </xf>
    <xf numFmtId="0" fontId="53" fillId="8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vertical="center"/>
    </xf>
    <xf numFmtId="0" fontId="49" fillId="2" borderId="15" xfId="0" applyFont="1" applyFill="1" applyBorder="1" applyAlignment="1">
      <alignment horizontal="left" vertical="center"/>
    </xf>
    <xf numFmtId="0" fontId="54" fillId="2" borderId="6" xfId="0" applyFont="1" applyFill="1" applyBorder="1" applyAlignment="1">
      <alignment horizontal="left" vertical="center"/>
    </xf>
    <xf numFmtId="0" fontId="54" fillId="2" borderId="16" xfId="0" applyFont="1" applyFill="1" applyBorder="1" applyAlignment="1">
      <alignment horizontal="left" vertical="center"/>
    </xf>
    <xf numFmtId="0" fontId="25" fillId="8" borderId="0" xfId="0" applyFont="1" applyFill="1"/>
    <xf numFmtId="0" fontId="30" fillId="2" borderId="0" xfId="0" applyFont="1" applyFill="1" applyBorder="1"/>
    <xf numFmtId="0" fontId="10" fillId="2" borderId="27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vertical="center"/>
    </xf>
    <xf numFmtId="0" fontId="55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 indent="3"/>
    </xf>
    <xf numFmtId="0" fontId="23" fillId="2" borderId="29" xfId="0" applyFont="1" applyFill="1" applyBorder="1" applyAlignment="1">
      <alignment vertical="center"/>
    </xf>
    <xf numFmtId="0" fontId="27" fillId="2" borderId="30" xfId="0" applyFont="1" applyFill="1" applyBorder="1"/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indent="3"/>
    </xf>
    <xf numFmtId="0" fontId="19" fillId="2" borderId="0" xfId="1" applyFill="1" applyBorder="1" applyProtection="1"/>
    <xf numFmtId="0" fontId="24" fillId="2" borderId="29" xfId="0" applyFont="1" applyFill="1" applyBorder="1"/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3"/>
    </xf>
    <xf numFmtId="0" fontId="26" fillId="2" borderId="29" xfId="0" applyFont="1" applyFill="1" applyBorder="1"/>
    <xf numFmtId="0" fontId="27" fillId="2" borderId="31" xfId="0" applyFont="1" applyFill="1" applyBorder="1"/>
    <xf numFmtId="0" fontId="26" fillId="2" borderId="32" xfId="0" applyFont="1" applyFill="1" applyBorder="1"/>
    <xf numFmtId="0" fontId="24" fillId="2" borderId="32" xfId="0" applyFont="1" applyFill="1" applyBorder="1"/>
    <xf numFmtId="0" fontId="38" fillId="2" borderId="33" xfId="0" applyFont="1" applyFill="1" applyBorder="1" applyAlignment="1">
      <alignment horizontal="right"/>
    </xf>
    <xf numFmtId="0" fontId="14" fillId="8" borderId="34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0" fillId="8" borderId="34" xfId="0" applyFill="1" applyBorder="1" applyAlignment="1">
      <alignment vertical="center"/>
    </xf>
    <xf numFmtId="0" fontId="39" fillId="8" borderId="0" xfId="0" applyFont="1" applyFill="1" applyAlignment="1">
      <alignment horizontal="center" vertical="center"/>
    </xf>
    <xf numFmtId="0" fontId="56" fillId="4" borderId="1" xfId="0" applyFont="1" applyFill="1" applyBorder="1"/>
    <xf numFmtId="0" fontId="56" fillId="4" borderId="2" xfId="0" applyFont="1" applyFill="1" applyBorder="1"/>
    <xf numFmtId="0" fontId="56" fillId="4" borderId="3" xfId="0" applyFont="1" applyFill="1" applyBorder="1"/>
    <xf numFmtId="0" fontId="56" fillId="4" borderId="0" xfId="0" applyFont="1" applyFill="1"/>
    <xf numFmtId="0" fontId="56" fillId="4" borderId="0" xfId="0" applyFont="1" applyFill="1" applyAlignment="1">
      <alignment horizontal="center" vertical="center"/>
    </xf>
    <xf numFmtId="0" fontId="57" fillId="4" borderId="3" xfId="0" applyFont="1" applyFill="1" applyBorder="1"/>
    <xf numFmtId="0" fontId="58" fillId="4" borderId="0" xfId="1" applyFont="1" applyFill="1" applyBorder="1" applyAlignment="1">
      <alignment horizontal="center" vertical="center"/>
    </xf>
    <xf numFmtId="0" fontId="56" fillId="4" borderId="4" xfId="0" applyFont="1" applyFill="1" applyBorder="1"/>
    <xf numFmtId="0" fontId="56" fillId="4" borderId="5" xfId="0" applyFont="1" applyFill="1" applyBorder="1"/>
    <xf numFmtId="0" fontId="59" fillId="8" borderId="0" xfId="0" applyFont="1" applyFill="1" applyAlignment="1">
      <alignment horizontal="center" vertical="center"/>
    </xf>
    <xf numFmtId="0" fontId="60" fillId="8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indent="3"/>
    </xf>
    <xf numFmtId="0" fontId="38" fillId="2" borderId="0" xfId="0" applyFont="1" applyFill="1"/>
    <xf numFmtId="0" fontId="14" fillId="6" borderId="58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51" fillId="5" borderId="13" xfId="0" applyFont="1" applyFill="1" applyBorder="1" applyAlignment="1">
      <alignment horizontal="left" vertical="center" indent="1"/>
    </xf>
    <xf numFmtId="0" fontId="0" fillId="5" borderId="0" xfId="0" applyFill="1" applyBorder="1" applyAlignment="1">
      <alignment horizontal="left" vertical="center" indent="1"/>
    </xf>
    <xf numFmtId="0" fontId="18" fillId="11" borderId="15" xfId="1" applyFont="1" applyFill="1" applyBorder="1" applyAlignment="1">
      <alignment horizontal="center" vertical="center"/>
    </xf>
    <xf numFmtId="0" fontId="18" fillId="11" borderId="6" xfId="1" applyFont="1" applyFill="1" applyBorder="1" applyAlignment="1">
      <alignment horizontal="center" vertical="center"/>
    </xf>
    <xf numFmtId="0" fontId="18" fillId="11" borderId="16" xfId="1" applyFont="1" applyFill="1" applyBorder="1" applyAlignment="1">
      <alignment horizontal="center" vertical="center"/>
    </xf>
    <xf numFmtId="0" fontId="51" fillId="5" borderId="54" xfId="0" applyFont="1" applyFill="1" applyBorder="1" applyAlignment="1">
      <alignment horizontal="left" vertical="center" indent="1"/>
    </xf>
    <xf numFmtId="0" fontId="0" fillId="5" borderId="25" xfId="0" applyFill="1" applyBorder="1" applyAlignment="1">
      <alignment horizontal="left" vertical="center" indent="1"/>
    </xf>
    <xf numFmtId="0" fontId="29" fillId="12" borderId="55" xfId="0" applyFont="1" applyFill="1" applyBorder="1" applyAlignment="1">
      <alignment horizontal="center"/>
    </xf>
    <xf numFmtId="0" fontId="29" fillId="12" borderId="56" xfId="0" applyFont="1" applyFill="1" applyBorder="1" applyAlignment="1">
      <alignment horizontal="center"/>
    </xf>
    <xf numFmtId="0" fontId="29" fillId="12" borderId="57" xfId="0" applyFont="1" applyFill="1" applyBorder="1" applyAlignment="1">
      <alignment horizontal="center"/>
    </xf>
    <xf numFmtId="0" fontId="68" fillId="12" borderId="54" xfId="1" applyFont="1" applyFill="1" applyBorder="1" applyAlignment="1">
      <alignment horizontal="center" vertical="center"/>
    </xf>
    <xf numFmtId="0" fontId="68" fillId="12" borderId="25" xfId="1" applyFont="1" applyFill="1" applyBorder="1" applyAlignment="1">
      <alignment horizontal="center" vertical="center"/>
    </xf>
    <xf numFmtId="0" fontId="68" fillId="12" borderId="26" xfId="1" applyFont="1" applyFill="1" applyBorder="1" applyAlignment="1">
      <alignment horizontal="center" vertical="center"/>
    </xf>
    <xf numFmtId="0" fontId="29" fillId="11" borderId="55" xfId="0" applyFont="1" applyFill="1" applyBorder="1" applyAlignment="1">
      <alignment horizontal="center"/>
    </xf>
    <xf numFmtId="0" fontId="29" fillId="11" borderId="56" xfId="0" applyFont="1" applyFill="1" applyBorder="1" applyAlignment="1">
      <alignment horizontal="center"/>
    </xf>
    <xf numFmtId="0" fontId="29" fillId="11" borderId="57" xfId="0" applyFont="1" applyFill="1" applyBorder="1" applyAlignment="1">
      <alignment horizontal="center"/>
    </xf>
    <xf numFmtId="0" fontId="50" fillId="2" borderId="52" xfId="0" applyFont="1" applyFill="1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9" fillId="2" borderId="0" xfId="1" applyFill="1" applyBorder="1" applyAlignment="1" applyProtection="1">
      <alignment horizontal="center" vertical="center"/>
    </xf>
    <xf numFmtId="0" fontId="23" fillId="0" borderId="29" xfId="0" applyFont="1" applyBorder="1" applyAlignment="1">
      <alignment horizontal="center" vertical="center"/>
    </xf>
    <xf numFmtId="2" fontId="1" fillId="7" borderId="36" xfId="0" applyNumberFormat="1" applyFont="1" applyFill="1" applyBorder="1" applyAlignment="1" applyProtection="1">
      <alignment vertical="center"/>
      <protection locked="0"/>
    </xf>
    <xf numFmtId="0" fontId="1" fillId="7" borderId="50" xfId="0" applyFont="1" applyFill="1" applyBorder="1" applyAlignment="1" applyProtection="1">
      <alignment vertical="center"/>
      <protection locked="0"/>
    </xf>
    <xf numFmtId="0" fontId="5" fillId="10" borderId="13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65" fillId="2" borderId="13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66" fillId="0" borderId="13" xfId="0" applyFont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left" vertical="top" wrapText="1" indent="1" readingOrder="1"/>
    </xf>
    <xf numFmtId="0" fontId="64" fillId="0" borderId="51" xfId="0" applyFont="1" applyBorder="1" applyAlignment="1">
      <alignment horizontal="left" vertical="top" wrapText="1" indent="1" readingOrder="1"/>
    </xf>
    <xf numFmtId="0" fontId="64" fillId="0" borderId="19" xfId="0" applyFont="1" applyBorder="1" applyAlignment="1">
      <alignment horizontal="left" vertical="top" wrapText="1" indent="1" readingOrder="1"/>
    </xf>
    <xf numFmtId="0" fontId="0" fillId="0" borderId="19" xfId="0" applyBorder="1" applyAlignment="1">
      <alignment horizontal="left" vertical="top" wrapText="1" indent="1"/>
    </xf>
    <xf numFmtId="0" fontId="0" fillId="0" borderId="51" xfId="0" applyBorder="1" applyAlignment="1">
      <alignment horizontal="left" vertical="top" wrapText="1" indent="1"/>
    </xf>
    <xf numFmtId="0" fontId="29" fillId="8" borderId="0" xfId="0" applyFont="1" applyFill="1" applyAlignment="1">
      <alignment horizontal="center"/>
    </xf>
    <xf numFmtId="2" fontId="5" fillId="3" borderId="35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62" fillId="8" borderId="0" xfId="0" applyFont="1" applyFill="1" applyAlignment="1">
      <alignment horizontal="center" shrinkToFit="1"/>
    </xf>
    <xf numFmtId="0" fontId="0" fillId="8" borderId="0" xfId="0" applyFill="1" applyAlignment="1">
      <alignment horizontal="center" shrinkToFit="1"/>
    </xf>
    <xf numFmtId="0" fontId="10" fillId="6" borderId="42" xfId="0" applyFont="1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6" borderId="4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2" fontId="24" fillId="7" borderId="36" xfId="0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4" fillId="7" borderId="40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2" fontId="24" fillId="7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4" fillId="7" borderId="36" xfId="0" applyFont="1" applyFill="1" applyBorder="1" applyAlignment="1" applyProtection="1">
      <alignment horizontal="center" vertical="center"/>
      <protection locked="0"/>
    </xf>
    <xf numFmtId="2" fontId="24" fillId="7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3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2" fontId="5" fillId="13" borderId="35" xfId="0" applyNumberFormat="1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18" fillId="2" borderId="0" xfId="0" applyFont="1" applyFill="1" applyBorder="1"/>
    <xf numFmtId="0" fontId="29" fillId="2" borderId="0" xfId="0" applyFont="1" applyFill="1" applyBorder="1"/>
    <xf numFmtId="0" fontId="18" fillId="2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4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18" fillId="2" borderId="0" xfId="0" applyFont="1" applyFill="1" applyBorder="1"/>
    <xf numFmtId="0" fontId="18" fillId="14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wrapText="1"/>
    </xf>
    <xf numFmtId="0" fontId="2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/>
    <xf numFmtId="9" fontId="18" fillId="2" borderId="0" xfId="0" applyNumberFormat="1" applyFont="1" applyFill="1" applyBorder="1" applyAlignment="1">
      <alignment horizontal="center" vertical="center"/>
    </xf>
    <xf numFmtId="0" fontId="56" fillId="4" borderId="0" xfId="0" applyFont="1" applyFill="1" applyBorder="1"/>
    <xf numFmtId="0" fontId="31" fillId="2" borderId="0" xfId="0" applyFont="1" applyFill="1" applyBorder="1" applyAlignment="1">
      <alignment horizontal="center" vertical="center" textRotation="180"/>
    </xf>
    <xf numFmtId="0" fontId="22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 textRotation="180"/>
    </xf>
    <xf numFmtId="0" fontId="21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2" fontId="22" fillId="2" borderId="0" xfId="0" applyNumberFormat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178" fontId="18" fillId="2" borderId="0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0" fontId="67" fillId="2" borderId="0" xfId="0" applyFont="1" applyFill="1" applyBorder="1"/>
    <xf numFmtId="0" fontId="18" fillId="2" borderId="0" xfId="0" applyFont="1" applyFill="1" applyBorder="1" applyAlignment="1">
      <alignment horizontal="center" vertical="center" textRotation="180"/>
    </xf>
    <xf numFmtId="0" fontId="18" fillId="2" borderId="0" xfId="2" applyFont="1" applyFill="1" applyBorder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2" fontId="28" fillId="2" borderId="0" xfId="0" applyNumberFormat="1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/>
    <xf numFmtId="0" fontId="67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2" fontId="73" fillId="2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left" vertical="center"/>
    </xf>
    <xf numFmtId="179" fontId="18" fillId="2" borderId="0" xfId="0" applyNumberFormat="1" applyFont="1" applyFill="1" applyBorder="1" applyAlignment="1">
      <alignment horizontal="center" vertical="center"/>
    </xf>
    <xf numFmtId="16" fontId="18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0" fontId="74" fillId="2" borderId="0" xfId="0" applyFont="1" applyFill="1" applyBorder="1" applyAlignment="1">
      <alignment horizontal="center" vertical="center"/>
    </xf>
    <xf numFmtId="0" fontId="28" fillId="2" borderId="0" xfId="0" applyFont="1" applyFill="1" applyBorder="1"/>
    <xf numFmtId="2" fontId="18" fillId="2" borderId="0" xfId="0" applyNumberFormat="1" applyFont="1" applyFill="1" applyBorder="1" applyAlignment="1">
      <alignment horizontal="right" vertical="center"/>
    </xf>
    <xf numFmtId="2" fontId="18" fillId="2" borderId="0" xfId="0" applyNumberFormat="1" applyFont="1" applyFill="1" applyBorder="1" applyAlignment="1">
      <alignment horizontal="right" vertical="center"/>
    </xf>
    <xf numFmtId="2" fontId="18" fillId="2" borderId="0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2" fontId="18" fillId="2" borderId="0" xfId="0" applyNumberFormat="1" applyFont="1" applyFill="1" applyBorder="1" applyAlignment="1">
      <alignment horizontal="left"/>
    </xf>
    <xf numFmtId="0" fontId="75" fillId="2" borderId="0" xfId="0" applyFont="1" applyFill="1" applyBorder="1" applyAlignment="1">
      <alignment horizontal="right" vertical="center"/>
    </xf>
    <xf numFmtId="0" fontId="75" fillId="2" borderId="0" xfId="0" applyFont="1" applyFill="1" applyBorder="1" applyAlignment="1">
      <alignment horizontal="center" vertical="center"/>
    </xf>
    <xf numFmtId="0" fontId="75" fillId="2" borderId="0" xfId="0" applyFont="1" applyFill="1" applyBorder="1" applyAlignment="1">
      <alignment horizontal="center" vertical="center"/>
    </xf>
    <xf numFmtId="180" fontId="18" fillId="2" borderId="0" xfId="0" applyNumberFormat="1" applyFont="1" applyFill="1" applyBorder="1"/>
    <xf numFmtId="0" fontId="73" fillId="2" borderId="0" xfId="0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/>
    </xf>
    <xf numFmtId="0" fontId="76" fillId="2" borderId="0" xfId="0" applyFont="1" applyFill="1" applyBorder="1"/>
    <xf numFmtId="0" fontId="67" fillId="2" borderId="0" xfId="0" applyFont="1" applyFill="1" applyBorder="1"/>
    <xf numFmtId="0" fontId="18" fillId="2" borderId="0" xfId="0" applyFont="1" applyFill="1" applyBorder="1" applyAlignment="1"/>
    <xf numFmtId="0" fontId="77" fillId="2" borderId="0" xfId="0" applyFont="1" applyFill="1" applyBorder="1"/>
    <xf numFmtId="0" fontId="78" fillId="2" borderId="0" xfId="0" applyFont="1" applyFill="1" applyBorder="1"/>
  </cellXfs>
  <cellStyles count="3">
    <cellStyle name="Lien hypertexte" xfId="1" builtinId="8"/>
    <cellStyle name="Normal" xfId="0" builtinId="0"/>
    <cellStyle name="Normal 2" xfId="2" xr:uid="{AA19733F-6A26-4C28-B196-D4D1A3070F76}"/>
  </cellStyles>
  <dxfs count="17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b/>
        <i val="0"/>
        <color rgb="FFFF0000"/>
      </font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5" tint="-0.24994659260841701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 tint="-0.24994659260841701"/>
      </font>
    </dxf>
    <dxf>
      <font>
        <b/>
        <i val="0"/>
        <color rgb="FFFF0000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theme="8" tint="-0.24994659260841701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unegamelleautop.fr/" TargetMode="Externa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473825</xdr:colOff>
      <xdr:row>35</xdr:row>
      <xdr:rowOff>157942</xdr:rowOff>
    </xdr:from>
    <xdr:to>
      <xdr:col>11</xdr:col>
      <xdr:colOff>1097280</xdr:colOff>
      <xdr:row>38</xdr:row>
      <xdr:rowOff>290945</xdr:rowOff>
    </xdr:to>
    <xdr:pic>
      <xdr:nvPicPr>
        <xdr:cNvPr id="92771" name="Image 12" descr="http://www.unegamelleautop.f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1952D4-46DB-64ED-8CF1-5D08E9C6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596" y="10415847"/>
          <a:ext cx="2161309" cy="108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374073</xdr:colOff>
      <xdr:row>38</xdr:row>
      <xdr:rowOff>66502</xdr:rowOff>
    </xdr:from>
    <xdr:to>
      <xdr:col>4</xdr:col>
      <xdr:colOff>182880</xdr:colOff>
      <xdr:row>46</xdr:row>
      <xdr:rowOff>16625</xdr:rowOff>
    </xdr:to>
    <xdr:pic>
      <xdr:nvPicPr>
        <xdr:cNvPr id="92772" name="Image 13" descr="http://www.unegamelleautop.fr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4768C6-2856-F54A-6B2B-E92B53A1A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636" y="11272058"/>
          <a:ext cx="4073237" cy="2477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33251</xdr:colOff>
      <xdr:row>1</xdr:row>
      <xdr:rowOff>41564</xdr:rowOff>
    </xdr:from>
    <xdr:to>
      <xdr:col>1</xdr:col>
      <xdr:colOff>1446415</xdr:colOff>
      <xdr:row>4</xdr:row>
      <xdr:rowOff>199505</xdr:rowOff>
    </xdr:to>
    <xdr:pic>
      <xdr:nvPicPr>
        <xdr:cNvPr id="92773" name="Image 7">
          <a:extLst>
            <a:ext uri="{FF2B5EF4-FFF2-40B4-BE49-F238E27FC236}">
              <a16:creationId xmlns:a16="http://schemas.microsoft.com/office/drawing/2014/main" id="{2682F0BC-9F2E-3C44-D41D-68ED6382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9" r="11099"/>
        <a:stretch>
          <a:fillRect/>
        </a:stretch>
      </xdr:blipFill>
      <xdr:spPr bwMode="auto">
        <a:xfrm>
          <a:off x="74815" y="141316"/>
          <a:ext cx="1413163" cy="881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972589</xdr:colOff>
      <xdr:row>1</xdr:row>
      <xdr:rowOff>49876</xdr:rowOff>
    </xdr:from>
    <xdr:to>
      <xdr:col>11</xdr:col>
      <xdr:colOff>1354975</xdr:colOff>
      <xdr:row>4</xdr:row>
      <xdr:rowOff>224444</xdr:rowOff>
    </xdr:to>
    <xdr:pic>
      <xdr:nvPicPr>
        <xdr:cNvPr id="92774" name="Image 8">
          <a:extLst>
            <a:ext uri="{FF2B5EF4-FFF2-40B4-BE49-F238E27FC236}">
              <a16:creationId xmlns:a16="http://schemas.microsoft.com/office/drawing/2014/main" id="{2C3DF544-B0CA-DFD2-805A-0871161B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86" t="11667" r="5046" b="16666"/>
        <a:stretch>
          <a:fillRect/>
        </a:stretch>
      </xdr:blipFill>
      <xdr:spPr bwMode="auto">
        <a:xfrm>
          <a:off x="13167360" y="149629"/>
          <a:ext cx="1920240" cy="89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 b="0" i="0" u="none" strike="noStrike">
            <a:solidFill>
              <a:srgbClr val="000000"/>
            </a:solidFill>
            <a:latin typeface="Calibri"/>
            <a:ea typeface="Gill Sans" charset="0"/>
            <a:cs typeface="Calibri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unegamelleautop.fr/" TargetMode="External"/><Relationship Id="rId7" Type="http://schemas.openxmlformats.org/officeDocument/2006/relationships/hyperlink" Target="https://www.unegamelleautop.fr/" TargetMode="External"/><Relationship Id="rId2" Type="http://schemas.openxmlformats.org/officeDocument/2006/relationships/hyperlink" Target="https://www.facebook.com/ToutSavoirSurAlimentationChienChat/" TargetMode="External"/><Relationship Id="rId1" Type="http://schemas.openxmlformats.org/officeDocument/2006/relationships/hyperlink" Target="https://pro.anses.fr/tableciqual/" TargetMode="External"/><Relationship Id="rId6" Type="http://schemas.openxmlformats.org/officeDocument/2006/relationships/hyperlink" Target="https://www.unegamelleautop.fr/" TargetMode="External"/><Relationship Id="rId5" Type="http://schemas.openxmlformats.org/officeDocument/2006/relationships/hyperlink" Target="https://www.unegamelleautop.fr/" TargetMode="External"/><Relationship Id="rId4" Type="http://schemas.openxmlformats.org/officeDocument/2006/relationships/hyperlink" Target="http://www.unegamelleautop.fr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E7B8-5AA9-4F28-8CCE-CDC0FAC7109E}">
  <dimension ref="A1:DZ206"/>
  <sheetViews>
    <sheetView tabSelected="1" zoomScale="80" zoomScaleNormal="80" workbookViewId="0">
      <selection activeCell="C15" sqref="C15"/>
    </sheetView>
  </sheetViews>
  <sheetFormatPr baseColWidth="10" defaultRowHeight="18.350000000000001"/>
  <cols>
    <col min="1" max="1" width="0.5546875" style="5" customWidth="1"/>
    <col min="2" max="2" width="19.6640625" style="6" customWidth="1"/>
    <col min="3" max="3" width="19.6640625" style="5" customWidth="1"/>
    <col min="4" max="4" width="17.6640625" style="5" customWidth="1"/>
    <col min="5" max="5" width="2.6640625" style="5" customWidth="1"/>
    <col min="6" max="12" width="20.5546875" style="5" customWidth="1"/>
    <col min="13" max="17" width="15.6640625" style="13" customWidth="1"/>
    <col min="18" max="21" width="15.6640625" style="13" hidden="1" customWidth="1"/>
    <col min="22" max="22" width="15.6640625" style="228" hidden="1" customWidth="1"/>
    <col min="23" max="23" width="25.33203125" style="228" hidden="1" customWidth="1"/>
    <col min="24" max="24" width="42.5546875" style="228" hidden="1" customWidth="1"/>
    <col min="25" max="25" width="18.44140625" style="228" hidden="1" customWidth="1"/>
    <col min="26" max="26" width="27.6640625" style="228" hidden="1" customWidth="1"/>
    <col min="27" max="27" width="19.109375" style="228" hidden="1" customWidth="1"/>
    <col min="28" max="29" width="10.6640625" style="228" hidden="1" customWidth="1"/>
    <col min="30" max="30" width="34.33203125" style="228" hidden="1" customWidth="1"/>
    <col min="31" max="31" width="25.6640625" style="228" hidden="1" customWidth="1"/>
    <col min="32" max="32" width="12" style="228" hidden="1" customWidth="1"/>
    <col min="33" max="37" width="12.6640625" style="228" hidden="1" customWidth="1"/>
    <col min="38" max="38" width="14.6640625" style="228" hidden="1" customWidth="1"/>
    <col min="39" max="39" width="33.88671875" style="228" hidden="1" customWidth="1"/>
    <col min="40" max="40" width="35" style="228" hidden="1" customWidth="1"/>
    <col min="41" max="41" width="11.5546875" style="228" hidden="1" customWidth="1"/>
    <col min="42" max="42" width="16.6640625" style="228" hidden="1" customWidth="1"/>
    <col min="43" max="43" width="11.5546875" style="228" hidden="1" customWidth="1"/>
    <col min="44" max="44" width="14.33203125" style="228" hidden="1" customWidth="1"/>
    <col min="45" max="45" width="43.6640625" style="228" hidden="1" customWidth="1"/>
    <col min="46" max="46" width="31.44140625" style="228" hidden="1" customWidth="1"/>
    <col min="47" max="48" width="10.6640625" style="228" hidden="1" customWidth="1"/>
    <col min="49" max="49" width="34.33203125" style="228" hidden="1" customWidth="1"/>
    <col min="50" max="50" width="21.33203125" style="228" hidden="1" customWidth="1"/>
    <col min="51" max="51" width="31.109375" style="228" hidden="1" customWidth="1"/>
    <col min="52" max="58" width="11.5546875" style="228" hidden="1" customWidth="1"/>
    <col min="59" max="59" width="14.5546875" style="228" hidden="1" customWidth="1"/>
    <col min="60" max="60" width="23.5546875" style="228" hidden="1" customWidth="1"/>
    <col min="61" max="61" width="40.21875" style="228" hidden="1" customWidth="1"/>
    <col min="62" max="62" width="35.6640625" style="228" hidden="1" customWidth="1"/>
    <col min="63" max="64" width="30.6640625" style="228" hidden="1" customWidth="1"/>
    <col min="65" max="66" width="11.5546875" style="228" hidden="1" customWidth="1"/>
    <col min="67" max="67" width="24.6640625" style="228" hidden="1" customWidth="1"/>
    <col min="68" max="68" width="33.88671875" style="228" hidden="1" customWidth="1"/>
    <col min="69" max="69" width="12.6640625" style="228" hidden="1" customWidth="1"/>
    <col min="70" max="70" width="20.77734375" style="228" hidden="1" customWidth="1"/>
    <col min="71" max="73" width="11.5546875" style="228" hidden="1" customWidth="1"/>
    <col min="74" max="74" width="35.44140625" style="228" hidden="1" customWidth="1"/>
    <col min="75" max="76" width="10.6640625" style="228" hidden="1" customWidth="1"/>
    <col min="77" max="77" width="68.5546875" style="228" hidden="1" customWidth="1"/>
    <col min="78" max="78" width="6.6640625" style="228" hidden="1" customWidth="1"/>
    <col min="79" max="79" width="11.5546875" style="262" hidden="1" customWidth="1"/>
    <col min="80" max="80" width="29.88671875" style="228" hidden="1" customWidth="1"/>
    <col min="81" max="81" width="22.6640625" style="228" hidden="1" customWidth="1"/>
    <col min="82" max="83" width="20.6640625" style="228" hidden="1" customWidth="1"/>
    <col min="84" max="84" width="11.5546875" style="262" hidden="1" customWidth="1"/>
    <col min="85" max="85" width="36.88671875" style="228" hidden="1" customWidth="1"/>
    <col min="86" max="86" width="15.33203125" style="228" hidden="1" customWidth="1"/>
    <col min="87" max="88" width="20.6640625" style="228" hidden="1" customWidth="1"/>
    <col min="89" max="93" width="11.5546875" style="228" hidden="1" customWidth="1"/>
    <col min="94" max="108" width="15.6640625" style="228" hidden="1" customWidth="1"/>
    <col min="109" max="109" width="20" style="228" hidden="1" customWidth="1"/>
    <col min="110" max="110" width="13.21875" style="240" hidden="1" customWidth="1"/>
    <col min="111" max="111" width="11.5546875" style="228" hidden="1" customWidth="1"/>
    <col min="112" max="115" width="30.6640625" style="21" hidden="1" customWidth="1"/>
    <col min="116" max="116" width="11.5546875" style="228" hidden="1" customWidth="1"/>
    <col min="117" max="118" width="30.6640625" style="228" hidden="1" customWidth="1"/>
    <col min="119" max="121" width="11.5546875" style="228" hidden="1" customWidth="1"/>
    <col min="122" max="130" width="0" style="228" hidden="1" customWidth="1"/>
    <col min="131" max="16384" width="11.5546875" style="1"/>
  </cols>
  <sheetData>
    <row r="1" spans="1:118" ht="8.1999999999999993" customHeight="1">
      <c r="A1" s="28"/>
      <c r="B1" s="217"/>
      <c r="C1" s="218"/>
      <c r="D1" s="218"/>
      <c r="E1" s="218"/>
      <c r="F1" s="218"/>
      <c r="G1" s="218"/>
      <c r="H1" s="218"/>
      <c r="I1" s="28"/>
      <c r="J1" s="28"/>
      <c r="K1" s="28"/>
      <c r="L1" s="28"/>
      <c r="M1" s="29"/>
      <c r="N1" s="29"/>
      <c r="O1" s="29"/>
      <c r="P1" s="29"/>
      <c r="Q1" s="29"/>
      <c r="R1" s="12"/>
      <c r="S1" s="12"/>
      <c r="T1" s="12"/>
      <c r="U1" s="17"/>
      <c r="V1" s="261"/>
      <c r="AT1" s="21"/>
      <c r="AU1" s="21"/>
      <c r="DF1" s="230"/>
      <c r="DG1" s="261"/>
      <c r="DL1" s="248"/>
      <c r="DM1" s="248"/>
      <c r="DN1" s="248"/>
    </row>
    <row r="2" spans="1:118" ht="19" customHeight="1">
      <c r="A2" s="28"/>
      <c r="B2" s="197" t="s">
        <v>1141</v>
      </c>
      <c r="C2" s="198"/>
      <c r="D2" s="198"/>
      <c r="E2" s="199"/>
      <c r="F2" s="199"/>
      <c r="G2" s="199"/>
      <c r="H2" s="199"/>
      <c r="I2" s="199"/>
      <c r="J2" s="199"/>
      <c r="K2" s="199"/>
      <c r="L2" s="200"/>
      <c r="M2" s="29"/>
      <c r="N2" s="29"/>
      <c r="O2" s="29"/>
      <c r="P2" s="29"/>
      <c r="Q2" s="29"/>
      <c r="R2" s="12"/>
      <c r="S2" s="12"/>
      <c r="T2" s="12"/>
      <c r="U2" s="12"/>
      <c r="W2" s="241" t="s">
        <v>185</v>
      </c>
      <c r="X2" s="21" t="s">
        <v>13</v>
      </c>
      <c r="Y2" s="21" t="s">
        <v>11</v>
      </c>
      <c r="Z2" s="21" t="s">
        <v>12</v>
      </c>
      <c r="AA2" s="21" t="s">
        <v>256</v>
      </c>
      <c r="AD2" s="249"/>
      <c r="AT2" s="21"/>
      <c r="AU2" s="21"/>
      <c r="BY2" s="243" t="s">
        <v>149</v>
      </c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63"/>
      <c r="CL2" s="263"/>
      <c r="CM2" s="263"/>
      <c r="CN2" s="263"/>
      <c r="CO2" s="238"/>
      <c r="CP2" s="238"/>
      <c r="CQ2" s="243" t="s">
        <v>1150</v>
      </c>
      <c r="CR2" s="232"/>
      <c r="CS2" s="232"/>
      <c r="CT2" s="232"/>
      <c r="CU2" s="232"/>
      <c r="CV2" s="232"/>
      <c r="CW2" s="232"/>
      <c r="CX2" s="232"/>
      <c r="CY2" s="232"/>
      <c r="CZ2" s="249"/>
      <c r="DA2" s="249"/>
      <c r="DB2" s="249" t="s">
        <v>611</v>
      </c>
      <c r="DC2" s="249"/>
      <c r="DD2" s="249"/>
      <c r="DE2" s="21" t="s">
        <v>842</v>
      </c>
      <c r="DF2" s="230"/>
      <c r="DH2" s="21" t="s">
        <v>402</v>
      </c>
      <c r="DI2" s="21" t="s">
        <v>403</v>
      </c>
      <c r="DJ2" s="21" t="s">
        <v>404</v>
      </c>
      <c r="DK2" s="21" t="s">
        <v>405</v>
      </c>
      <c r="DL2" s="250" t="s">
        <v>407</v>
      </c>
      <c r="DM2" s="21" t="s">
        <v>409</v>
      </c>
      <c r="DN2" s="21" t="s">
        <v>410</v>
      </c>
    </row>
    <row r="3" spans="1:118" ht="19" customHeight="1">
      <c r="A3" s="28"/>
      <c r="B3" s="201"/>
      <c r="C3" s="202"/>
      <c r="D3" s="202"/>
      <c r="E3" s="203"/>
      <c r="F3" s="203"/>
      <c r="G3" s="203"/>
      <c r="H3" s="203"/>
      <c r="I3" s="203"/>
      <c r="J3" s="203"/>
      <c r="K3" s="203"/>
      <c r="L3" s="204"/>
      <c r="M3" s="29"/>
      <c r="N3" s="29"/>
      <c r="O3" s="29"/>
      <c r="P3" s="29"/>
      <c r="Q3" s="29"/>
      <c r="R3" s="12"/>
      <c r="S3" s="12"/>
      <c r="T3" s="12"/>
      <c r="U3" s="12"/>
      <c r="W3" s="242"/>
      <c r="X3" s="21" t="str">
        <f>IF($I$7=$AD$28,$I$9,"n/a")</f>
        <v>n/a</v>
      </c>
      <c r="Y3" s="21" t="str">
        <f>IF($I$7=$AD$28,$J$9,"n/a")</f>
        <v>n/a</v>
      </c>
      <c r="Z3" s="21" t="str">
        <f>IF($I$7=$AD$28,$K$9,IF($I$7=$AD$27,0,"n/a"))</f>
        <v>n/a</v>
      </c>
      <c r="AA3" s="21" t="str">
        <f>IF($I$7=$AD$28,$L$9,IF($X$45=2,VLOOKUP($I$7,$AD$24:$AL$28,9,0),"n/a"))</f>
        <v>n/a</v>
      </c>
      <c r="AD3" s="21"/>
      <c r="AE3" s="243" t="s">
        <v>494</v>
      </c>
      <c r="AF3" s="243"/>
      <c r="AG3" s="243"/>
      <c r="AH3" s="232"/>
      <c r="AI3" s="21"/>
      <c r="AJ3" s="21"/>
      <c r="AK3" s="21"/>
      <c r="AL3" s="21"/>
      <c r="AM3" s="243" t="s">
        <v>496</v>
      </c>
      <c r="AN3" s="232"/>
      <c r="AO3" s="232"/>
      <c r="AP3" s="232"/>
      <c r="AQ3" s="232"/>
      <c r="AR3" s="232"/>
      <c r="AS3" s="238"/>
      <c r="AT3" s="21"/>
      <c r="AU3" s="21"/>
      <c r="AV3" s="21"/>
      <c r="AW3" s="243" t="s">
        <v>922</v>
      </c>
      <c r="AX3" s="243"/>
      <c r="AY3" s="243"/>
      <c r="AZ3" s="21"/>
      <c r="BA3" s="21"/>
      <c r="BB3" s="243" t="s">
        <v>757</v>
      </c>
      <c r="BC3" s="232"/>
      <c r="BD3" s="232"/>
      <c r="BE3" s="238"/>
      <c r="BF3" s="238"/>
      <c r="BG3" s="238"/>
      <c r="BH3" s="238"/>
      <c r="BI3" s="238"/>
      <c r="BJ3" s="21"/>
      <c r="BK3" s="243" t="s">
        <v>1108</v>
      </c>
      <c r="BL3" s="243"/>
      <c r="BM3" s="243"/>
      <c r="BN3" s="21"/>
      <c r="BO3" s="21"/>
      <c r="BP3" s="21"/>
      <c r="BQ3" s="21"/>
      <c r="BR3" s="21"/>
      <c r="BS3" s="21"/>
      <c r="BT3" s="21"/>
      <c r="BU3" s="21"/>
      <c r="BY3" s="232" t="s">
        <v>108</v>
      </c>
      <c r="BZ3" s="232"/>
      <c r="CB3" s="232" t="s">
        <v>111</v>
      </c>
      <c r="CC3" s="232"/>
      <c r="CD3" s="21" t="s">
        <v>275</v>
      </c>
      <c r="CE3" s="21" t="s">
        <v>276</v>
      </c>
      <c r="CG3" s="232" t="s">
        <v>115</v>
      </c>
      <c r="CH3" s="232"/>
      <c r="CI3" s="21" t="s">
        <v>285</v>
      </c>
      <c r="CJ3" s="21" t="s">
        <v>286</v>
      </c>
      <c r="CK3" s="232" t="s">
        <v>201</v>
      </c>
      <c r="CL3" s="232"/>
      <c r="CM3" s="232"/>
      <c r="CN3" s="232"/>
      <c r="CO3" s="21" t="s">
        <v>171</v>
      </c>
      <c r="CP3" s="21" t="s">
        <v>211</v>
      </c>
      <c r="CQ3" s="21" t="s">
        <v>217</v>
      </c>
      <c r="CR3" s="21" t="s">
        <v>219</v>
      </c>
      <c r="CS3" s="21" t="s">
        <v>218</v>
      </c>
      <c r="CT3" s="21" t="s">
        <v>220</v>
      </c>
      <c r="CU3" s="21" t="s">
        <v>221</v>
      </c>
      <c r="CV3" s="21" t="s">
        <v>222</v>
      </c>
      <c r="CW3" s="21" t="s">
        <v>223</v>
      </c>
      <c r="CX3" s="21" t="s">
        <v>209</v>
      </c>
      <c r="CY3" s="21" t="s">
        <v>208</v>
      </c>
      <c r="CZ3" s="21" t="s">
        <v>597</v>
      </c>
      <c r="DA3" s="21" t="s">
        <v>596</v>
      </c>
      <c r="DB3" s="21" t="s">
        <v>599</v>
      </c>
      <c r="DC3" s="21" t="s">
        <v>600</v>
      </c>
      <c r="DD3" s="21" t="s">
        <v>598</v>
      </c>
      <c r="DE3" s="21" t="s">
        <v>841</v>
      </c>
      <c r="DF3" s="21" t="s">
        <v>1055</v>
      </c>
      <c r="DH3" s="21" t="str">
        <f>HLS!$A2</f>
        <v>Huile de Colza</v>
      </c>
      <c r="DI3" s="21" t="str">
        <f>LGS!$A2</f>
        <v>Aubergine - CUITE</v>
      </c>
      <c r="DJ3" s="21" t="str">
        <f>FCS!$A2</f>
        <v>Flocon d'avoine - CUIT</v>
      </c>
      <c r="DK3" s="21" t="str">
        <f>VDS!$A2</f>
        <v>Agneau, épaule maigre - CRUE</v>
      </c>
      <c r="DL3" s="264"/>
      <c r="DM3" s="21" t="str">
        <f>'OPT1'!$A2</f>
        <v>Aucun</v>
      </c>
      <c r="DN3" s="21" t="str">
        <f>'OPT2'!$A2</f>
        <v>Aucun</v>
      </c>
    </row>
    <row r="4" spans="1:118" ht="19" customHeight="1" thickBot="1">
      <c r="A4" s="28"/>
      <c r="B4" s="201"/>
      <c r="C4" s="202"/>
      <c r="D4" s="202"/>
      <c r="E4" s="203"/>
      <c r="F4" s="203"/>
      <c r="G4" s="203"/>
      <c r="H4" s="203"/>
      <c r="I4" s="203"/>
      <c r="J4" s="203"/>
      <c r="K4" s="203"/>
      <c r="L4" s="204"/>
      <c r="M4" s="29"/>
      <c r="N4" s="29"/>
      <c r="O4" s="29"/>
      <c r="P4" s="29"/>
      <c r="Q4" s="29"/>
      <c r="R4" s="12"/>
      <c r="S4" s="12"/>
      <c r="T4" s="12"/>
      <c r="U4" s="12"/>
      <c r="W4" s="242"/>
      <c r="X4" s="251" t="s">
        <v>170</v>
      </c>
      <c r="Y4" s="232"/>
      <c r="Z4" s="253">
        <f>IF($I$7=$AD$28,$X$3+$Y$3+$Z$3,100)</f>
        <v>100</v>
      </c>
      <c r="AD4" s="21"/>
      <c r="AE4" s="21" t="s">
        <v>479</v>
      </c>
      <c r="AF4" s="21">
        <v>10</v>
      </c>
      <c r="AG4" s="21">
        <v>5</v>
      </c>
      <c r="AH4" s="21">
        <v>3</v>
      </c>
      <c r="AI4" s="21"/>
      <c r="AJ4" s="21"/>
      <c r="AK4" s="21"/>
      <c r="AL4" s="21"/>
      <c r="AM4" s="244" t="s">
        <v>972</v>
      </c>
      <c r="AN4" s="244"/>
      <c r="AO4" s="244"/>
      <c r="AP4" s="244"/>
      <c r="AQ4" s="244"/>
      <c r="AR4" s="244"/>
      <c r="AS4" s="244"/>
      <c r="AT4" s="21"/>
      <c r="AU4" s="21"/>
      <c r="AV4" s="21"/>
      <c r="AW4" s="21" t="str">
        <f>"cuillère à café "</f>
        <v xml:space="preserve">cuillère à café </v>
      </c>
      <c r="AX4" s="21" t="str">
        <f>"cuillère à soupe "</f>
        <v xml:space="preserve">cuillère à soupe </v>
      </c>
      <c r="AY4" s="21" t="s">
        <v>919</v>
      </c>
      <c r="AZ4" s="21"/>
      <c r="BA4" s="21"/>
      <c r="BB4" s="21" t="s">
        <v>751</v>
      </c>
      <c r="BC4" s="21">
        <f>IF($I$14&lt;&gt;"",VLOOKUP($I$14,HLS!$A$2:$AC$100,21,0)/$X$101,0)</f>
        <v>0</v>
      </c>
      <c r="BD4" s="21"/>
      <c r="BE4" s="21" t="s">
        <v>752</v>
      </c>
      <c r="BF4" s="230" t="e">
        <f>IF($W$26&lt;$AU$68,$W$26/$BL$4,$W$26/$BL$5)&amp;" "&amp;$X$26&amp;" ("&amp;$W$26&amp;" grammes)"</f>
        <v>#N/A</v>
      </c>
      <c r="BG4" s="21"/>
      <c r="BH4" s="21"/>
      <c r="BI4" s="262"/>
      <c r="BJ4" s="21"/>
      <c r="BK4" s="21" t="s">
        <v>923</v>
      </c>
      <c r="BL4" s="21">
        <f>CTRL!H17</f>
        <v>5</v>
      </c>
      <c r="BM4" s="21" t="s">
        <v>1109</v>
      </c>
      <c r="BN4" s="21"/>
      <c r="BO4" s="21"/>
      <c r="BP4" s="21"/>
      <c r="BQ4" s="21"/>
      <c r="BR4" s="21"/>
      <c r="BS4" s="21"/>
      <c r="BT4" s="21"/>
      <c r="BU4" s="21"/>
      <c r="BY4" s="265" t="s">
        <v>130</v>
      </c>
      <c r="BZ4" s="266">
        <v>1</v>
      </c>
      <c r="CB4" s="230" t="s">
        <v>316</v>
      </c>
      <c r="CC4" s="21">
        <v>1</v>
      </c>
      <c r="CD4" s="21">
        <v>0</v>
      </c>
      <c r="CE4" s="21">
        <v>0</v>
      </c>
      <c r="CG4" s="240" t="s">
        <v>116</v>
      </c>
      <c r="CH4" s="21">
        <v>1</v>
      </c>
      <c r="CI4" s="21">
        <v>5</v>
      </c>
      <c r="CJ4" s="21">
        <v>13</v>
      </c>
      <c r="CK4" s="21">
        <v>55</v>
      </c>
      <c r="CL4" s="21">
        <v>60</v>
      </c>
      <c r="CM4" s="21">
        <v>65</v>
      </c>
      <c r="CN4" s="21">
        <f>IF($C$15&lt;10,CK4,IF($C$15&lt;25,CL4,IF($C$15&gt;24.99999999999,CM4)))</f>
        <v>55</v>
      </c>
      <c r="CO4" s="21">
        <v>1</v>
      </c>
      <c r="CP4" s="21">
        <v>2</v>
      </c>
      <c r="CQ4" s="21">
        <v>18</v>
      </c>
      <c r="CR4" s="21">
        <v>35</v>
      </c>
      <c r="CS4" s="21">
        <v>5.5</v>
      </c>
      <c r="CT4" s="21">
        <v>50</v>
      </c>
      <c r="CU4" s="21">
        <v>11</v>
      </c>
      <c r="CV4" s="21">
        <v>1</v>
      </c>
      <c r="CW4" s="21">
        <v>14</v>
      </c>
      <c r="CX4" s="21">
        <v>2</v>
      </c>
      <c r="CY4" s="21">
        <v>8</v>
      </c>
      <c r="CZ4" s="21">
        <v>1.25</v>
      </c>
      <c r="DA4" s="21">
        <v>1</v>
      </c>
      <c r="DB4" s="21">
        <v>6.25</v>
      </c>
      <c r="DC4" s="21">
        <v>4</v>
      </c>
      <c r="DD4" s="21">
        <v>3</v>
      </c>
      <c r="DE4" s="21">
        <v>2</v>
      </c>
      <c r="DF4" s="21">
        <v>0</v>
      </c>
      <c r="DH4" s="21" t="str">
        <f>HLS!$A3</f>
        <v>Huile de Hareng</v>
      </c>
      <c r="DI4" s="21" t="str">
        <f>LGS!$A3</f>
        <v>Brocoli - CUIT</v>
      </c>
      <c r="DJ4" s="21" t="str">
        <f>FCS!$A3</f>
        <v>Flocon de riz - CUIT</v>
      </c>
      <c r="DK4" s="21" t="str">
        <f>VDS!$A3</f>
        <v>Agneau, épaule maigre - CUITE</v>
      </c>
      <c r="DL4" s="264"/>
      <c r="DM4" s="21" t="str">
        <f>'OPT1'!$A3</f>
        <v>1 entier cru</v>
      </c>
      <c r="DN4" s="21" t="str">
        <f>'OPT2'!$A3</f>
        <v>Simple</v>
      </c>
    </row>
    <row r="5" spans="1:118" ht="19" customHeight="1">
      <c r="A5" s="28"/>
      <c r="B5" s="205"/>
      <c r="C5" s="206"/>
      <c r="D5" s="206"/>
      <c r="E5" s="206"/>
      <c r="F5" s="206"/>
      <c r="G5" s="206"/>
      <c r="H5" s="206"/>
      <c r="I5" s="206"/>
      <c r="J5" s="206"/>
      <c r="K5" s="206"/>
      <c r="L5" s="207"/>
      <c r="M5" s="29"/>
      <c r="N5" s="29"/>
      <c r="O5" s="29"/>
      <c r="P5" s="29"/>
      <c r="Q5" s="29"/>
      <c r="R5" s="20"/>
      <c r="S5" s="140"/>
      <c r="T5" s="141"/>
      <c r="U5" s="141"/>
      <c r="W5" s="242"/>
      <c r="X5" s="252" t="s">
        <v>167</v>
      </c>
      <c r="Y5" s="21" t="s">
        <v>165</v>
      </c>
      <c r="Z5" s="21">
        <f>IF($AA$54=8,VLOOKUP($C$20,$CG$4:$CJ$27,4,0),0)</f>
        <v>0</v>
      </c>
      <c r="AA5" s="253" t="s">
        <v>759</v>
      </c>
      <c r="AD5" s="21"/>
      <c r="AE5" s="21" t="s">
        <v>472</v>
      </c>
      <c r="AF5" s="21">
        <f>($Z$32*(1+($AF$4/100)))</f>
        <v>1.1000000000000001</v>
      </c>
      <c r="AG5" s="21">
        <f>($Z$32*(1+($AG$4/100)))</f>
        <v>1.05</v>
      </c>
      <c r="AH5" s="21">
        <f>($Z$32*(1+($AH$4/100)))</f>
        <v>1.03</v>
      </c>
      <c r="AI5" s="21"/>
      <c r="AJ5" s="21"/>
      <c r="AK5" s="21"/>
      <c r="AL5" s="21"/>
      <c r="AM5" s="244" t="s">
        <v>314</v>
      </c>
      <c r="AN5" s="244"/>
      <c r="AO5" s="244"/>
      <c r="AP5" s="244"/>
      <c r="AQ5" s="244"/>
      <c r="AR5" s="244"/>
      <c r="AS5" s="244"/>
      <c r="AT5" s="21"/>
      <c r="AU5" s="21"/>
      <c r="AV5" s="21"/>
      <c r="AW5" s="21" t="str">
        <f>"cuillères à café "</f>
        <v xml:space="preserve">cuillères à café </v>
      </c>
      <c r="AX5" s="21" t="str">
        <f>"cuillères à soupe "</f>
        <v xml:space="preserve">cuillères à soupe </v>
      </c>
      <c r="AY5" s="21" t="e">
        <f>$W$26&amp;" / "&amp;$AU$68</f>
        <v>#N/A</v>
      </c>
      <c r="AZ5" s="21"/>
      <c r="BA5" s="21"/>
      <c r="BB5" s="21" t="s">
        <v>753</v>
      </c>
      <c r="BC5" s="21">
        <f>$C$15</f>
        <v>0</v>
      </c>
      <c r="BD5" s="21"/>
      <c r="BE5" s="21" t="s">
        <v>754</v>
      </c>
      <c r="BF5" s="230" t="e">
        <f>$BC$6&amp;" "&amp;$X$26</f>
        <v>#N/A</v>
      </c>
      <c r="BG5" s="21"/>
      <c r="BH5" s="21"/>
      <c r="BI5" s="262"/>
      <c r="BJ5" s="21"/>
      <c r="BK5" s="21" t="s">
        <v>924</v>
      </c>
      <c r="BL5" s="21">
        <f>CTRL!H19</f>
        <v>15</v>
      </c>
      <c r="BM5" s="21" t="s">
        <v>1109</v>
      </c>
      <c r="BN5" s="21"/>
      <c r="BO5" s="21"/>
      <c r="BP5" s="21"/>
      <c r="BQ5" s="21"/>
      <c r="BR5" s="21"/>
      <c r="BS5" s="21"/>
      <c r="BT5" s="21"/>
      <c r="BU5" s="21"/>
      <c r="BY5" s="265" t="s">
        <v>617</v>
      </c>
      <c r="BZ5" s="266">
        <v>1</v>
      </c>
      <c r="CB5" s="230" t="s">
        <v>318</v>
      </c>
      <c r="CC5" s="21">
        <v>0.9</v>
      </c>
      <c r="CD5" s="21">
        <v>1</v>
      </c>
      <c r="CE5" s="21">
        <v>-1</v>
      </c>
      <c r="CG5" s="240" t="s">
        <v>1107</v>
      </c>
      <c r="CH5" s="21">
        <v>1</v>
      </c>
      <c r="CI5" s="21">
        <v>7</v>
      </c>
      <c r="CJ5" s="21">
        <v>13</v>
      </c>
      <c r="CK5" s="21">
        <v>55</v>
      </c>
      <c r="CL5" s="21">
        <v>60</v>
      </c>
      <c r="CM5" s="21">
        <v>65</v>
      </c>
      <c r="CN5" s="21">
        <f>IF($C$15&lt;10,CK5,IF($C$15&lt;25,CL5,IF($C$15&gt;24.99999999999,CM5)))</f>
        <v>55</v>
      </c>
      <c r="CO5" s="21">
        <v>1</v>
      </c>
      <c r="CP5" s="21">
        <v>1.5</v>
      </c>
      <c r="CQ5" s="21">
        <v>18</v>
      </c>
      <c r="CR5" s="21">
        <v>35</v>
      </c>
      <c r="CS5" s="21">
        <v>5.5</v>
      </c>
      <c r="CT5" s="21">
        <v>50</v>
      </c>
      <c r="CU5" s="21">
        <v>10</v>
      </c>
      <c r="CV5" s="21">
        <v>1</v>
      </c>
      <c r="CW5" s="21">
        <v>14</v>
      </c>
      <c r="CX5" s="21">
        <v>2</v>
      </c>
      <c r="CY5" s="21">
        <v>8</v>
      </c>
      <c r="CZ5" s="21">
        <v>1</v>
      </c>
      <c r="DA5" s="21">
        <v>0.6</v>
      </c>
      <c r="DB5" s="21">
        <v>6.25</v>
      </c>
      <c r="DC5" s="21">
        <v>4</v>
      </c>
      <c r="DD5" s="21">
        <v>3</v>
      </c>
      <c r="DE5" s="21">
        <v>2</v>
      </c>
      <c r="DF5" s="21">
        <v>0</v>
      </c>
      <c r="DH5" s="21" t="str">
        <f>HLS!$A4</f>
        <v>Huile de Sardine</v>
      </c>
      <c r="DI5" s="21" t="str">
        <f>LGS!$A4</f>
        <v>Carotte - CRUE</v>
      </c>
      <c r="DJ5" s="21" t="str">
        <f>FCS!$A4</f>
        <v>Patate douce - CUITE</v>
      </c>
      <c r="DK5" s="21" t="str">
        <f>VDS!$A4</f>
        <v>Bœuf, faux-filet - CRU</v>
      </c>
      <c r="DL5" s="264"/>
      <c r="DM5" s="21" t="str">
        <f>'OPT1'!$A4</f>
        <v>1 entier cuit</v>
      </c>
      <c r="DN5" s="21" t="str">
        <f>'OPT2'!$A4</f>
        <v>Brassé</v>
      </c>
    </row>
    <row r="6" spans="1:118" ht="10" customHeight="1">
      <c r="A6" s="30"/>
      <c r="B6" s="31"/>
      <c r="C6" s="31"/>
      <c r="D6" s="31"/>
      <c r="E6" s="32"/>
      <c r="F6" s="31"/>
      <c r="G6" s="31"/>
      <c r="H6" s="31"/>
      <c r="I6" s="31"/>
      <c r="J6" s="31"/>
      <c r="K6" s="31"/>
      <c r="L6" s="31"/>
      <c r="M6" s="32"/>
      <c r="N6" s="32"/>
      <c r="O6" s="32"/>
      <c r="P6" s="32"/>
      <c r="Q6" s="32"/>
      <c r="R6" s="20"/>
      <c r="S6" s="142"/>
      <c r="T6" s="143"/>
      <c r="U6" s="247"/>
      <c r="W6" s="242"/>
      <c r="X6" s="236"/>
      <c r="Y6" s="21" t="s">
        <v>168</v>
      </c>
      <c r="Z6" s="21">
        <f>IF($AA$54=8,IF($AJ$11=1,0,VLOOKUP($C$21,$CB$4:$CE$9,4,0))+VLOOKUP($C$22,$CG$40:$CJ$42,4,0)+IF($AJ$11=1,0,VLOOKUP($C$23,$CB$40:$CE$44,4,0))+VLOOKUP($C$24,$CB$28:$CE$32,4,0)+VLOOKUP($C$25,$CB$19:$CE$22,4,0),0)</f>
        <v>0</v>
      </c>
      <c r="AA6" s="253" t="s">
        <v>760</v>
      </c>
      <c r="AD6" s="21"/>
      <c r="AE6" s="21" t="s">
        <v>473</v>
      </c>
      <c r="AF6" s="21">
        <f>($Z$32*(1-($AF$4/100)))</f>
        <v>0.9</v>
      </c>
      <c r="AG6" s="21">
        <f>($Z$32*(1-($AG$4/100)))</f>
        <v>0.95</v>
      </c>
      <c r="AH6" s="21">
        <f>($Z$32*(1-($AH$4/100)))</f>
        <v>0.97</v>
      </c>
      <c r="AI6" s="21"/>
      <c r="AJ6" s="21"/>
      <c r="AK6" s="21"/>
      <c r="AL6" s="21"/>
      <c r="AM6" s="244" t="s">
        <v>315</v>
      </c>
      <c r="AN6" s="244"/>
      <c r="AO6" s="244"/>
      <c r="AP6" s="244"/>
      <c r="AQ6" s="244"/>
      <c r="AR6" s="244"/>
      <c r="AS6" s="267"/>
      <c r="AT6" s="21"/>
      <c r="AU6" s="21"/>
      <c r="AV6" s="21"/>
      <c r="AW6" s="21" t="e">
        <f>IF(($W26/4)&gt;1,$AW$5,$AW$4)</f>
        <v>#N/A</v>
      </c>
      <c r="AX6" s="21" t="e">
        <f>IF(($W26/12)&gt;1,$AX$5,$AX$4)</f>
        <v>#N/A</v>
      </c>
      <c r="AY6" s="21" t="e">
        <f>IF($W$26&lt;$AU$68,$AW$6,$AX$6)</f>
        <v>#N/A</v>
      </c>
      <c r="AZ6" s="21"/>
      <c r="BA6" s="21"/>
      <c r="BB6" s="21" t="s">
        <v>755</v>
      </c>
      <c r="BC6" s="21">
        <f>IF($AA$3&gt;0,IF($BC$4&gt;0,ROUNDDOWN(($BC$5-0.1)/$BC$4,0)+1,0),0)</f>
        <v>0</v>
      </c>
      <c r="BD6" s="21"/>
      <c r="BE6" s="21" t="s">
        <v>756</v>
      </c>
      <c r="BF6" s="230" t="e">
        <f>IF($BC$4=0,$BF$4,$BF$5)</f>
        <v>#N/A</v>
      </c>
      <c r="BG6" s="21"/>
      <c r="BH6" s="21"/>
      <c r="BI6" s="262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Y6" s="265" t="s">
        <v>42</v>
      </c>
      <c r="BZ6" s="266">
        <v>1</v>
      </c>
      <c r="CB6" s="230" t="s">
        <v>319</v>
      </c>
      <c r="CC6" s="21">
        <v>0.8</v>
      </c>
      <c r="CD6" s="21">
        <v>2</v>
      </c>
      <c r="CE6" s="21">
        <v>-2</v>
      </c>
      <c r="CG6" s="240" t="s">
        <v>1094</v>
      </c>
      <c r="CH6" s="21">
        <v>1.6</v>
      </c>
      <c r="CI6" s="21">
        <v>3</v>
      </c>
      <c r="CJ6" s="21">
        <v>20</v>
      </c>
      <c r="CK6" s="21">
        <v>70</v>
      </c>
      <c r="CL6" s="21">
        <v>70</v>
      </c>
      <c r="CM6" s="21">
        <v>70</v>
      </c>
      <c r="CN6" s="21">
        <f t="shared" ref="CN6:CN27" si="0">IF($C$15&lt;10,CK6,IF($C$15&lt;25,CL6,IF($C$15&gt;24.99999999999,CM6)))</f>
        <v>70</v>
      </c>
      <c r="CO6" s="21">
        <v>125</v>
      </c>
      <c r="CP6" s="21">
        <v>3</v>
      </c>
      <c r="CQ6" s="21">
        <v>25</v>
      </c>
      <c r="CR6" s="21">
        <v>35</v>
      </c>
      <c r="CS6" s="21">
        <v>8.5</v>
      </c>
      <c r="CT6" s="21">
        <v>50</v>
      </c>
      <c r="CU6" s="21">
        <v>11</v>
      </c>
      <c r="CV6" s="21">
        <v>1</v>
      </c>
      <c r="CW6" s="21">
        <v>14</v>
      </c>
      <c r="CX6" s="21">
        <v>1.6</v>
      </c>
      <c r="CY6" s="21">
        <v>8</v>
      </c>
      <c r="CZ6" s="21">
        <v>2.5</v>
      </c>
      <c r="DA6" s="21">
        <v>1.75</v>
      </c>
      <c r="DB6" s="21">
        <v>3.75</v>
      </c>
      <c r="DC6" s="21">
        <v>4</v>
      </c>
      <c r="DD6" s="21">
        <v>3</v>
      </c>
      <c r="DE6" s="21">
        <v>2</v>
      </c>
      <c r="DF6" s="21">
        <v>1</v>
      </c>
      <c r="DH6" s="21" t="str">
        <f>HLS!$A5</f>
        <v>Huile de Saumon</v>
      </c>
      <c r="DI6" s="21" t="str">
        <f>LGS!$A5</f>
        <v>Carotte - CUITE</v>
      </c>
      <c r="DJ6" s="21" t="str">
        <f>FCS!$A5</f>
        <v>Pâtes sèches aux œufs - CUITES</v>
      </c>
      <c r="DK6" s="21" t="str">
        <f>VDS!$A5</f>
        <v>Bœuf, faux-filet - CUIT</v>
      </c>
      <c r="DL6" s="264"/>
      <c r="DM6" s="21" t="str">
        <f>'OPT1'!$A5</f>
        <v>2 entiers crus</v>
      </c>
      <c r="DN6" s="21" t="str">
        <f>'OPT2'!$A5</f>
        <v>Lait entier</v>
      </c>
    </row>
    <row r="7" spans="1:118" ht="25.2" customHeight="1">
      <c r="A7" s="30"/>
      <c r="B7" s="191" t="s">
        <v>313</v>
      </c>
      <c r="C7" s="191"/>
      <c r="D7" s="33"/>
      <c r="E7" s="32"/>
      <c r="F7" s="219" t="s">
        <v>974</v>
      </c>
      <c r="G7" s="220"/>
      <c r="H7" s="58" t="s">
        <v>489</v>
      </c>
      <c r="I7" s="210"/>
      <c r="J7" s="211"/>
      <c r="K7" s="59" t="str">
        <f>IF($I$7&gt;0,IF($AJ$9&lt;0,"Mode interdit pour les chiots",""&amp;VLOOKUP($I$7,$BP$66:$BQ$69,2,0)),"")</f>
        <v/>
      </c>
      <c r="L7" s="60"/>
      <c r="M7" s="32"/>
      <c r="N7" s="32"/>
      <c r="O7" s="32"/>
      <c r="P7" s="32"/>
      <c r="Q7" s="32"/>
      <c r="R7" s="20"/>
      <c r="S7" s="142"/>
      <c r="T7" s="144" t="s">
        <v>380</v>
      </c>
      <c r="U7" s="247"/>
      <c r="V7" s="268"/>
      <c r="W7" s="242"/>
      <c r="X7" s="236"/>
      <c r="Y7" s="21" t="s">
        <v>169</v>
      </c>
      <c r="Z7" s="21">
        <f>IF($AA$54=8,IF($I$7=$AD$28,$L$9,$AO$68),0)</f>
        <v>0</v>
      </c>
      <c r="AA7" s="253">
        <f>IF($M$14&gt;0,ROUNDDOWN(($Z$32/100*$Z$7)/(2*$M$14/100),0)*2,0)</f>
        <v>0</v>
      </c>
      <c r="AD7" s="21"/>
      <c r="AE7" s="21" t="s">
        <v>474</v>
      </c>
      <c r="AF7" s="269">
        <f>$Z$32</f>
        <v>1</v>
      </c>
      <c r="AG7" s="21" t="e">
        <f>$Z$23</f>
        <v>#N/A</v>
      </c>
      <c r="AH7" s="21"/>
      <c r="AI7" s="21"/>
      <c r="AJ7" s="21"/>
      <c r="AK7" s="21"/>
      <c r="AL7" s="21"/>
      <c r="AM7" s="244" t="e">
        <f>"Apport du menu : "&amp;ROUND($Z$23,0)&amp;" kcal, trop éloigné de la cible : "&amp;$Z$32&amp;" kcal (écart de "&amp;$AG$8&amp;"%)"</f>
        <v>#N/A</v>
      </c>
      <c r="AN7" s="244"/>
      <c r="AO7" s="244"/>
      <c r="AP7" s="244"/>
      <c r="AQ7" s="244"/>
      <c r="AR7" s="244"/>
      <c r="AS7" s="267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62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Y7" s="265" t="s">
        <v>43</v>
      </c>
      <c r="BZ7" s="266">
        <v>1</v>
      </c>
      <c r="CA7" s="262">
        <v>0.8</v>
      </c>
      <c r="CB7" s="230" t="s">
        <v>110</v>
      </c>
      <c r="CC7" s="21">
        <v>0.7</v>
      </c>
      <c r="CD7" s="21">
        <v>4</v>
      </c>
      <c r="CE7" s="21">
        <v>-4</v>
      </c>
      <c r="CG7" s="240" t="s">
        <v>1095</v>
      </c>
      <c r="CH7" s="21">
        <v>1.3</v>
      </c>
      <c r="CI7" s="21">
        <v>3</v>
      </c>
      <c r="CJ7" s="21">
        <v>18</v>
      </c>
      <c r="CK7" s="21">
        <v>65</v>
      </c>
      <c r="CL7" s="21">
        <v>65</v>
      </c>
      <c r="CM7" s="21">
        <v>65</v>
      </c>
      <c r="CN7" s="21">
        <f t="shared" si="0"/>
        <v>65</v>
      </c>
      <c r="CO7" s="21">
        <v>125</v>
      </c>
      <c r="CP7" s="21">
        <v>2.6</v>
      </c>
      <c r="CQ7" s="21">
        <v>25</v>
      </c>
      <c r="CR7" s="21">
        <v>35</v>
      </c>
      <c r="CS7" s="21">
        <v>8.5</v>
      </c>
      <c r="CT7" s="21">
        <v>50</v>
      </c>
      <c r="CU7" s="21">
        <v>11</v>
      </c>
      <c r="CV7" s="21">
        <v>1</v>
      </c>
      <c r="CW7" s="21">
        <v>14</v>
      </c>
      <c r="CX7" s="21">
        <v>1.6</v>
      </c>
      <c r="CY7" s="21">
        <v>8</v>
      </c>
      <c r="CZ7" s="21">
        <v>2.2999999999999998</v>
      </c>
      <c r="DA7" s="21">
        <v>1.5</v>
      </c>
      <c r="DB7" s="21">
        <v>3.75</v>
      </c>
      <c r="DC7" s="21">
        <v>4</v>
      </c>
      <c r="DD7" s="21">
        <v>3</v>
      </c>
      <c r="DE7" s="21">
        <v>2</v>
      </c>
      <c r="DF7" s="21">
        <v>0.5</v>
      </c>
      <c r="DH7" s="21" t="str">
        <f>HLS!$A6</f>
        <v>Huile de Pépins de raisin</v>
      </c>
      <c r="DI7" s="21" t="str">
        <f>LGS!$A6</f>
        <v>Céleri branche - CUIT</v>
      </c>
      <c r="DJ7" s="21" t="str">
        <f>FCS!$A6</f>
        <v>Pâtes sèches standard - CUITES</v>
      </c>
      <c r="DK7" s="21" t="str">
        <f>VDS!$A6</f>
        <v>Bœuf, rumsteck - CRU</v>
      </c>
      <c r="DL7" s="264"/>
      <c r="DM7" s="21" t="str">
        <f>'OPT1'!$A6</f>
        <v>2 entiers cuits</v>
      </c>
      <c r="DN7" s="21" t="str">
        <f>'OPT2'!$A6</f>
        <v>Fromage blanc</v>
      </c>
    </row>
    <row r="8" spans="1:118" ht="25.2" customHeight="1">
      <c r="A8" s="30"/>
      <c r="B8" s="195"/>
      <c r="C8" s="196"/>
      <c r="D8" s="196"/>
      <c r="E8" s="32"/>
      <c r="F8" s="61"/>
      <c r="G8" s="62" t="str">
        <f>IF($I$7=$AD$28,"Code de déverouillage","")</f>
        <v/>
      </c>
      <c r="H8" s="63" t="s">
        <v>490</v>
      </c>
      <c r="I8" s="214"/>
      <c r="J8" s="209"/>
      <c r="K8" s="64" t="str">
        <f>IF($I$8&gt;0,""&amp;VLOOKUP($I$8,CMV!$A$2:$AB$100,14,0),"")</f>
        <v/>
      </c>
      <c r="L8" s="65"/>
      <c r="M8" s="32"/>
      <c r="N8" s="32"/>
      <c r="O8" s="32"/>
      <c r="P8" s="32"/>
      <c r="Q8" s="32"/>
      <c r="R8" s="20"/>
      <c r="S8" s="142"/>
      <c r="T8" s="144" t="s">
        <v>1052</v>
      </c>
      <c r="U8" s="247"/>
      <c r="W8" s="242"/>
      <c r="X8" s="236"/>
      <c r="Y8" s="21" t="s">
        <v>258</v>
      </c>
      <c r="Z8" s="21">
        <f>IF($AA$54=8,$AO$69,0)</f>
        <v>0</v>
      </c>
      <c r="AA8" s="253">
        <f>IF($M$14&gt;0,$AA$7*$M$14/100,0)</f>
        <v>0</v>
      </c>
      <c r="AD8" s="21"/>
      <c r="AE8" s="21" t="s">
        <v>475</v>
      </c>
      <c r="AF8" s="269" t="e">
        <f>$AG$7-$AF$7</f>
        <v>#N/A</v>
      </c>
      <c r="AG8" s="21" t="e">
        <f>ROUND($AF$8*100/$AF$7,2)</f>
        <v>#N/A</v>
      </c>
      <c r="AH8" s="21"/>
      <c r="AI8" s="21"/>
      <c r="AJ8" s="21"/>
      <c r="AK8" s="21"/>
      <c r="AL8" s="21"/>
      <c r="AM8" s="244" t="s">
        <v>971</v>
      </c>
      <c r="AN8" s="244"/>
      <c r="AO8" s="244"/>
      <c r="AP8" s="244"/>
      <c r="AQ8" s="244"/>
      <c r="AR8" s="244"/>
      <c r="AS8" s="267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62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Y8" s="265" t="s">
        <v>618</v>
      </c>
      <c r="BZ8" s="266">
        <v>1</v>
      </c>
      <c r="CA8" s="262">
        <v>0.8</v>
      </c>
      <c r="CB8" s="230" t="s">
        <v>317</v>
      </c>
      <c r="CC8" s="21">
        <v>1.1000000000000001</v>
      </c>
      <c r="CD8" s="21">
        <v>0</v>
      </c>
      <c r="CE8" s="21">
        <v>2</v>
      </c>
      <c r="CG8" s="240" t="s">
        <v>1096</v>
      </c>
      <c r="CH8" s="21">
        <v>1.1000000000000001</v>
      </c>
      <c r="CI8" s="21">
        <v>3</v>
      </c>
      <c r="CJ8" s="21">
        <v>15</v>
      </c>
      <c r="CK8" s="21">
        <v>65</v>
      </c>
      <c r="CL8" s="21">
        <v>65</v>
      </c>
      <c r="CM8" s="21">
        <v>65</v>
      </c>
      <c r="CN8" s="21">
        <f t="shared" si="0"/>
        <v>65</v>
      </c>
      <c r="CO8" s="21">
        <v>125</v>
      </c>
      <c r="CP8" s="21">
        <v>2.2000000000000002</v>
      </c>
      <c r="CQ8" s="21">
        <v>25</v>
      </c>
      <c r="CR8" s="21">
        <v>35</v>
      </c>
      <c r="CS8" s="21">
        <v>8.5</v>
      </c>
      <c r="CT8" s="21">
        <v>50</v>
      </c>
      <c r="CU8" s="21">
        <v>11</v>
      </c>
      <c r="CV8" s="21">
        <v>1</v>
      </c>
      <c r="CW8" s="21">
        <v>14</v>
      </c>
      <c r="CX8" s="21">
        <v>1.6</v>
      </c>
      <c r="CY8" s="21">
        <v>8</v>
      </c>
      <c r="CZ8" s="21">
        <v>2</v>
      </c>
      <c r="DA8" s="21">
        <v>1.25</v>
      </c>
      <c r="DB8" s="21">
        <v>3.75</v>
      </c>
      <c r="DC8" s="21">
        <v>4</v>
      </c>
      <c r="DD8" s="21">
        <v>3</v>
      </c>
      <c r="DE8" s="21">
        <v>2</v>
      </c>
      <c r="DF8" s="21">
        <v>0</v>
      </c>
      <c r="DH8" s="21" t="str">
        <f>HLS!$A7</f>
        <v>Huile de Noix</v>
      </c>
      <c r="DI8" s="21" t="str">
        <f>LGS!$A7</f>
        <v>Céleri rave - CUIT</v>
      </c>
      <c r="DJ8" s="21" t="str">
        <f>FCS!$A7</f>
        <v>Pomme de terre - CUITE</v>
      </c>
      <c r="DK8" s="21" t="str">
        <f>VDS!$A7</f>
        <v>Bœuf, rumsteck - CUIT</v>
      </c>
      <c r="DL8" s="264"/>
      <c r="DM8" s="21" t="str">
        <f>'OPT1'!$A7</f>
        <v>3 entiers crus</v>
      </c>
      <c r="DN8" s="21" t="str">
        <f>'OPT2'!$A7</f>
        <v>Lait entier crème</v>
      </c>
    </row>
    <row r="9" spans="1:118" ht="25.2" customHeight="1">
      <c r="A9" s="30"/>
      <c r="B9" s="192" t="s">
        <v>973</v>
      </c>
      <c r="C9" s="193"/>
      <c r="D9" s="194"/>
      <c r="E9" s="32"/>
      <c r="F9" s="66"/>
      <c r="G9" s="67"/>
      <c r="H9" s="63" t="s">
        <v>981</v>
      </c>
      <c r="I9" s="214"/>
      <c r="J9" s="209"/>
      <c r="K9" s="64" t="str">
        <f>IF($I$9&gt;0,IF($X$103=0,""&amp;VLOOKUP($I$9,$W$98:$Y$99,3,0),"Erreur de mode de ration"),"")</f>
        <v/>
      </c>
      <c r="L9" s="68"/>
      <c r="M9" s="32"/>
      <c r="N9" s="113"/>
      <c r="O9" s="32"/>
      <c r="P9" s="32"/>
      <c r="Q9" s="32"/>
      <c r="R9" s="20"/>
      <c r="S9" s="145"/>
      <c r="T9" s="146" t="s">
        <v>997</v>
      </c>
      <c r="U9" s="247"/>
      <c r="W9" s="242"/>
      <c r="X9" s="236"/>
      <c r="Y9" s="21" t="s">
        <v>259</v>
      </c>
      <c r="Z9" s="21">
        <f>IF($AA$54=8,(VLOOKUP($I$7,$AD$24:$AH$28,5,0))*$M$14/100,0)</f>
        <v>0</v>
      </c>
      <c r="AA9" s="21" t="s">
        <v>200</v>
      </c>
      <c r="AD9" s="21"/>
      <c r="AE9" s="21"/>
      <c r="AF9" s="21"/>
      <c r="AG9" s="21"/>
      <c r="AH9" s="21"/>
      <c r="AI9" s="21"/>
      <c r="AJ9" s="21">
        <f>IF($I$7=$AD$27,IF($AJ$11&gt;0,-1,0),0)</f>
        <v>0</v>
      </c>
      <c r="AK9" s="230" t="str">
        <f>"-1 = lock barf actif"</f>
        <v>-1 = lock barf actif</v>
      </c>
      <c r="AL9" s="21"/>
      <c r="AM9" s="244" t="s">
        <v>916</v>
      </c>
      <c r="AN9" s="244"/>
      <c r="AO9" s="244"/>
      <c r="AP9" s="244"/>
      <c r="AQ9" s="244"/>
      <c r="AR9" s="244"/>
      <c r="AS9" s="244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62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Y9" s="265" t="s">
        <v>619</v>
      </c>
      <c r="BZ9" s="266">
        <v>1</v>
      </c>
      <c r="CB9" s="230" t="s">
        <v>320</v>
      </c>
      <c r="CC9" s="21">
        <v>1.2</v>
      </c>
      <c r="CD9" s="21">
        <v>0</v>
      </c>
      <c r="CE9" s="21">
        <v>5</v>
      </c>
      <c r="CG9" s="240" t="s">
        <v>1097</v>
      </c>
      <c r="CH9" s="21">
        <v>1.6</v>
      </c>
      <c r="CI9" s="21">
        <v>3</v>
      </c>
      <c r="CJ9" s="21">
        <v>20</v>
      </c>
      <c r="CK9" s="21">
        <v>75</v>
      </c>
      <c r="CL9" s="21">
        <v>75</v>
      </c>
      <c r="CM9" s="21">
        <v>75</v>
      </c>
      <c r="CN9" s="21">
        <f t="shared" si="0"/>
        <v>75</v>
      </c>
      <c r="CO9" s="21">
        <v>125</v>
      </c>
      <c r="CP9" s="21">
        <v>3</v>
      </c>
      <c r="CQ9" s="21">
        <v>25</v>
      </c>
      <c r="CR9" s="21">
        <v>35</v>
      </c>
      <c r="CS9" s="21">
        <v>8.5</v>
      </c>
      <c r="CT9" s="21">
        <v>50</v>
      </c>
      <c r="CU9" s="21">
        <v>11</v>
      </c>
      <c r="CV9" s="21">
        <v>1</v>
      </c>
      <c r="CW9" s="21">
        <v>14</v>
      </c>
      <c r="CX9" s="21">
        <v>1.6</v>
      </c>
      <c r="CY9" s="21">
        <v>8</v>
      </c>
      <c r="CZ9" s="21">
        <v>2.5</v>
      </c>
      <c r="DA9" s="21">
        <v>1.75</v>
      </c>
      <c r="DB9" s="21">
        <v>3.75</v>
      </c>
      <c r="DC9" s="21">
        <v>4</v>
      </c>
      <c r="DD9" s="21">
        <v>3</v>
      </c>
      <c r="DE9" s="21">
        <v>2</v>
      </c>
      <c r="DF9" s="21">
        <v>1</v>
      </c>
      <c r="DH9" s="21" t="str">
        <f>HLS!$A8</f>
        <v>Huile de germe de blé</v>
      </c>
      <c r="DI9" s="21" t="str">
        <f>LGS!$A8</f>
        <v>Citrouille - CUITE</v>
      </c>
      <c r="DJ9" s="21" t="str">
        <f>FCS!$A8</f>
        <v>Purée mousline reconstituée</v>
      </c>
      <c r="DK9" s="21" t="str">
        <f>VDS!$A8</f>
        <v>Boeuf à bourguignon - CRU</v>
      </c>
      <c r="DL9" s="264"/>
      <c r="DM9" s="21" t="str">
        <f>'OPT1'!$A8</f>
        <v>3 entiers cuits</v>
      </c>
      <c r="DN9" s="21" t="str">
        <f>'OPT2'!$A8</f>
        <v>Lait entier chèvre</v>
      </c>
    </row>
    <row r="10" spans="1:118" ht="25.2" customHeight="1">
      <c r="A10" s="30"/>
      <c r="B10" s="221" t="s">
        <v>1087</v>
      </c>
      <c r="C10" s="222"/>
      <c r="D10" s="223"/>
      <c r="E10" s="36"/>
      <c r="F10" s="69"/>
      <c r="G10" s="26" t="str">
        <f>"Les petits + à ajouter aux gamelles "</f>
        <v xml:space="preserve">Les petits + à ajouter aux gamelles </v>
      </c>
      <c r="H10" s="70"/>
      <c r="I10" s="71"/>
      <c r="J10" s="71"/>
      <c r="K10" s="71"/>
      <c r="L10" s="72"/>
      <c r="M10" s="32"/>
      <c r="N10" s="113"/>
      <c r="O10" s="32"/>
      <c r="P10" s="32"/>
      <c r="Q10" s="32"/>
      <c r="R10" s="20"/>
      <c r="S10" s="145"/>
      <c r="T10" s="144"/>
      <c r="U10" s="247"/>
      <c r="W10" s="242"/>
      <c r="X10" s="252" t="s">
        <v>184</v>
      </c>
      <c r="Y10" s="21" t="s">
        <v>180</v>
      </c>
      <c r="Z10" s="21">
        <f>IF($AA$54=8,$Z$35-$Z$9,0)</f>
        <v>0</v>
      </c>
      <c r="AA10" s="21">
        <f>IF($Z$10&lt;0,1,0)</f>
        <v>0</v>
      </c>
      <c r="AD10" s="21"/>
      <c r="AE10" s="243" t="s">
        <v>493</v>
      </c>
      <c r="AF10" s="243"/>
      <c r="AG10" s="243"/>
      <c r="AH10" s="232"/>
      <c r="AI10" s="21"/>
      <c r="AJ10" s="228" t="s">
        <v>1056</v>
      </c>
      <c r="AL10" s="21"/>
      <c r="AM10" s="244" t="s">
        <v>1139</v>
      </c>
      <c r="AN10" s="244"/>
      <c r="AO10" s="244"/>
      <c r="AP10" s="244"/>
      <c r="AQ10" s="244"/>
      <c r="AR10" s="244"/>
      <c r="AS10" s="244"/>
      <c r="AT10" s="21"/>
      <c r="AU10" s="21"/>
      <c r="AV10" s="21"/>
      <c r="AW10" s="21"/>
      <c r="AX10" s="21"/>
      <c r="AY10" s="243" t="s">
        <v>787</v>
      </c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43" t="s">
        <v>806</v>
      </c>
      <c r="BR10" s="232"/>
      <c r="BS10" s="232"/>
      <c r="BT10" s="232"/>
      <c r="BU10" s="21"/>
      <c r="BY10" s="265" t="s">
        <v>620</v>
      </c>
      <c r="BZ10" s="266">
        <v>1</v>
      </c>
      <c r="CG10" s="240" t="s">
        <v>1098</v>
      </c>
      <c r="CH10" s="21">
        <v>1.3</v>
      </c>
      <c r="CI10" s="21">
        <v>3</v>
      </c>
      <c r="CJ10" s="21">
        <v>18</v>
      </c>
      <c r="CK10" s="21">
        <v>70</v>
      </c>
      <c r="CL10" s="21">
        <v>70</v>
      </c>
      <c r="CM10" s="21">
        <v>70</v>
      </c>
      <c r="CN10" s="21">
        <f t="shared" si="0"/>
        <v>70</v>
      </c>
      <c r="CO10" s="21">
        <v>125</v>
      </c>
      <c r="CP10" s="21">
        <v>2.6</v>
      </c>
      <c r="CQ10" s="21">
        <v>25</v>
      </c>
      <c r="CR10" s="21">
        <v>35</v>
      </c>
      <c r="CS10" s="21">
        <v>8.5</v>
      </c>
      <c r="CT10" s="21">
        <v>50</v>
      </c>
      <c r="CU10" s="21">
        <v>11</v>
      </c>
      <c r="CV10" s="21">
        <v>1</v>
      </c>
      <c r="CW10" s="21">
        <v>14</v>
      </c>
      <c r="CX10" s="21">
        <v>1.6</v>
      </c>
      <c r="CY10" s="21">
        <v>8</v>
      </c>
      <c r="CZ10" s="21">
        <v>2.2999999999999998</v>
      </c>
      <c r="DA10" s="21">
        <v>1.5</v>
      </c>
      <c r="DB10" s="21">
        <v>3.75</v>
      </c>
      <c r="DC10" s="21">
        <v>4</v>
      </c>
      <c r="DD10" s="21">
        <v>3</v>
      </c>
      <c r="DE10" s="21">
        <v>2</v>
      </c>
      <c r="DF10" s="21">
        <v>0.5</v>
      </c>
      <c r="DH10" s="21" t="str">
        <f>HLS!$A9</f>
        <v>Huile de bourrache</v>
      </c>
      <c r="DI10" s="21" t="str">
        <f>LGS!$A9</f>
        <v>Courge butternut - CUITE</v>
      </c>
      <c r="DJ10" s="21" t="str">
        <f>FCS!$A9</f>
        <v>Riz blanc - CUIT</v>
      </c>
      <c r="DK10" s="21" t="str">
        <f>VDS!$A9</f>
        <v>Boeuf à bourguignon - CUIT</v>
      </c>
      <c r="DL10" s="264"/>
      <c r="DM10" s="21" t="str">
        <f>'OPT1'!$A9</f>
        <v>4 entiers crus</v>
      </c>
      <c r="DN10" s="21" t="str">
        <f>'OPT2'!$A9</f>
        <v>Lait de brebis</v>
      </c>
    </row>
    <row r="11" spans="1:118" ht="25.2" customHeight="1">
      <c r="A11" s="30"/>
      <c r="B11" s="224"/>
      <c r="C11" s="222"/>
      <c r="D11" s="223"/>
      <c r="E11" s="36"/>
      <c r="F11" s="73" t="s">
        <v>858</v>
      </c>
      <c r="G11" s="15"/>
      <c r="H11" s="63" t="s">
        <v>181</v>
      </c>
      <c r="I11" s="208"/>
      <c r="J11" s="209"/>
      <c r="K11" s="64" t="str">
        <f>IF($I$11&gt;0,IF($X$3&gt;0,""&amp;VLOOKUP($I$11,VDS!$A$2:$AJ$108,19,0),""),"")</f>
        <v/>
      </c>
      <c r="L11" s="74"/>
      <c r="M11" s="34">
        <f>IF($I$11&gt;0,IF($X$3&gt;0,$BP$14,0),0)</f>
        <v>0</v>
      </c>
      <c r="N11" s="34"/>
      <c r="O11" s="34"/>
      <c r="P11" s="34"/>
      <c r="Q11" s="34"/>
      <c r="R11" s="20"/>
      <c r="S11" s="145"/>
      <c r="T11" s="144" t="s">
        <v>382</v>
      </c>
      <c r="U11" s="247"/>
      <c r="W11" s="242"/>
      <c r="X11" s="232"/>
      <c r="Y11" s="21" t="s">
        <v>181</v>
      </c>
      <c r="Z11" s="21">
        <f>IF($AA$54=8,ROUND($AZ$18*$M$11/100,2),0)</f>
        <v>0</v>
      </c>
      <c r="AA11" s="21">
        <v>0</v>
      </c>
      <c r="AB11" s="21"/>
      <c r="AC11" s="270"/>
      <c r="AD11" s="21"/>
      <c r="AE11" s="21">
        <v>200</v>
      </c>
      <c r="AF11" s="21">
        <v>1.1000000000000001</v>
      </c>
      <c r="AG11" s="21">
        <v>1.05</v>
      </c>
      <c r="AH11" s="21">
        <v>1.03</v>
      </c>
      <c r="AI11" s="21"/>
      <c r="AJ11" s="21" t="str">
        <f>IF($C$20&lt;&gt;"",VLOOKUP($C$20,$CG$4:$DF$27,26,0),"")</f>
        <v/>
      </c>
      <c r="AK11" s="230" t="s">
        <v>1057</v>
      </c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 t="s">
        <v>35</v>
      </c>
      <c r="AZ11" s="21" t="s">
        <v>4</v>
      </c>
      <c r="BA11" s="21" t="s">
        <v>5</v>
      </c>
      <c r="BB11" s="21" t="s">
        <v>6</v>
      </c>
      <c r="BC11" s="21" t="s">
        <v>7</v>
      </c>
      <c r="BD11" s="21" t="s">
        <v>32</v>
      </c>
      <c r="BE11" s="21" t="s">
        <v>8</v>
      </c>
      <c r="BF11" s="21" t="s">
        <v>9</v>
      </c>
      <c r="BG11" s="234" t="s">
        <v>8</v>
      </c>
      <c r="BH11" s="234" t="s">
        <v>9</v>
      </c>
      <c r="BI11" s="21" t="s">
        <v>34</v>
      </c>
      <c r="BJ11" s="21" t="s">
        <v>36</v>
      </c>
      <c r="BK11" s="21" t="s">
        <v>126</v>
      </c>
      <c r="BL11" s="21" t="s">
        <v>127</v>
      </c>
      <c r="BM11" s="21" t="s">
        <v>128</v>
      </c>
      <c r="BN11" s="21" t="s">
        <v>212</v>
      </c>
      <c r="BO11" s="21" t="s">
        <v>790</v>
      </c>
      <c r="BP11" s="21" t="s">
        <v>791</v>
      </c>
      <c r="BQ11" s="21" t="s">
        <v>807</v>
      </c>
      <c r="BR11" s="21" t="s">
        <v>9</v>
      </c>
      <c r="BS11" s="21" t="s">
        <v>808</v>
      </c>
      <c r="BT11" s="21" t="s">
        <v>809</v>
      </c>
      <c r="BU11" s="21"/>
      <c r="BY11" s="265" t="s">
        <v>621</v>
      </c>
      <c r="BZ11" s="266">
        <v>1</v>
      </c>
      <c r="CG11" s="240" t="s">
        <v>1099</v>
      </c>
      <c r="CH11" s="21">
        <v>1.1000000000000001</v>
      </c>
      <c r="CI11" s="21">
        <v>3</v>
      </c>
      <c r="CJ11" s="21">
        <v>15</v>
      </c>
      <c r="CK11" s="21">
        <v>70</v>
      </c>
      <c r="CL11" s="21">
        <v>70</v>
      </c>
      <c r="CM11" s="21">
        <v>70</v>
      </c>
      <c r="CN11" s="21">
        <f t="shared" si="0"/>
        <v>70</v>
      </c>
      <c r="CO11" s="21">
        <v>130</v>
      </c>
      <c r="CP11" s="21">
        <v>2.2000000000000002</v>
      </c>
      <c r="CQ11" s="21">
        <v>25</v>
      </c>
      <c r="CR11" s="21">
        <v>35</v>
      </c>
      <c r="CS11" s="21">
        <v>8.5</v>
      </c>
      <c r="CT11" s="21">
        <v>50</v>
      </c>
      <c r="CU11" s="21">
        <v>11</v>
      </c>
      <c r="CV11" s="21">
        <v>1</v>
      </c>
      <c r="CW11" s="21">
        <v>14</v>
      </c>
      <c r="CX11" s="21">
        <v>1.6</v>
      </c>
      <c r="CY11" s="21">
        <v>8</v>
      </c>
      <c r="CZ11" s="21">
        <v>2</v>
      </c>
      <c r="DA11" s="21">
        <v>1.25</v>
      </c>
      <c r="DB11" s="21">
        <v>3.75</v>
      </c>
      <c r="DC11" s="21">
        <v>4</v>
      </c>
      <c r="DD11" s="21">
        <v>3</v>
      </c>
      <c r="DE11" s="21">
        <v>2</v>
      </c>
      <c r="DF11" s="21">
        <v>0</v>
      </c>
      <c r="DH11" s="21" t="str">
        <f>HLS!$A10</f>
        <v>Huile ISIO 4</v>
      </c>
      <c r="DI11" s="21" t="str">
        <f>LGS!$A10</f>
        <v>Courge musquée - CUITE</v>
      </c>
      <c r="DJ11" s="21" t="str">
        <f>FCS!$A10</f>
        <v>Semoule de blé dur - CUITE</v>
      </c>
      <c r="DK11" s="21" t="str">
        <f>VDS!$A10</f>
        <v>Bœuf, steak haché 5% MG - CRU</v>
      </c>
      <c r="DL11" s="264"/>
      <c r="DM11" s="21" t="str">
        <f>'OPT1'!$A10</f>
        <v>4 entiers cuits</v>
      </c>
      <c r="DN11" s="21" t="str">
        <f>'OPT2'!$A10</f>
        <v>Light 0%</v>
      </c>
    </row>
    <row r="12" spans="1:118" ht="25.2" customHeight="1">
      <c r="A12" s="30"/>
      <c r="B12" s="224"/>
      <c r="C12" s="222"/>
      <c r="D12" s="223"/>
      <c r="E12" s="37"/>
      <c r="F12" s="41" t="s">
        <v>491</v>
      </c>
      <c r="G12" s="14"/>
      <c r="H12" s="63" t="s">
        <v>183</v>
      </c>
      <c r="I12" s="208"/>
      <c r="J12" s="209"/>
      <c r="K12" s="64" t="str">
        <f>IF($I$12&gt;0,IF($Y$3&gt;0,""&amp;VLOOKUP($I$12,LGS!$A$2:$AC$100,19,0),""),"")</f>
        <v/>
      </c>
      <c r="L12" s="74"/>
      <c r="M12" s="34">
        <f>IF($I$12&gt;0,IF($Y$3&gt;0,VLOOKUP($I$12,LGS!$A$2:$AC$100,2,0),0),0)</f>
        <v>0</v>
      </c>
      <c r="N12" s="34"/>
      <c r="O12" s="34"/>
      <c r="P12" s="34"/>
      <c r="Q12" s="34"/>
      <c r="R12" s="20"/>
      <c r="S12" s="145"/>
      <c r="T12" s="144" t="s">
        <v>383</v>
      </c>
      <c r="U12" s="247"/>
      <c r="W12" s="242"/>
      <c r="X12" s="232"/>
      <c r="Y12" s="21" t="s">
        <v>183</v>
      </c>
      <c r="Z12" s="21">
        <f>IF($AA$54=8,ROUND($W$24*$M$12/100,2),0)</f>
        <v>0</v>
      </c>
      <c r="AA12" s="21">
        <f>IF($Z$12&lt;0,1,0)</f>
        <v>0</v>
      </c>
      <c r="AB12" s="21"/>
      <c r="AD12" s="21"/>
      <c r="AE12" s="21">
        <v>500</v>
      </c>
      <c r="AF12" s="21">
        <v>0.9</v>
      </c>
      <c r="AG12" s="21">
        <v>0.95</v>
      </c>
      <c r="AH12" s="21">
        <v>0.97</v>
      </c>
      <c r="AI12" s="21"/>
      <c r="AJ12" s="230" t="s">
        <v>1081</v>
      </c>
      <c r="AK12" s="230" t="s">
        <v>1058</v>
      </c>
      <c r="AL12" s="21"/>
      <c r="AM12" s="243" t="s">
        <v>497</v>
      </c>
      <c r="AN12" s="238"/>
      <c r="AO12" s="238"/>
      <c r="AP12" s="238"/>
      <c r="AQ12" s="238"/>
      <c r="AR12" s="238"/>
      <c r="AS12" s="238"/>
      <c r="AT12" s="21"/>
      <c r="AU12" s="21"/>
      <c r="AV12" s="21"/>
      <c r="AW12" s="21"/>
      <c r="AX12" s="21" t="s">
        <v>788</v>
      </c>
      <c r="AY12" s="269" t="str">
        <f>IF($I$11="","PAS DE VIANDES",$I$11)</f>
        <v>PAS DE VIANDES</v>
      </c>
      <c r="AZ12" s="21">
        <f>IF($I$11="",0,VLOOKUP($I$11,VDS!$A$2:$AJ$108,3,0))</f>
        <v>0</v>
      </c>
      <c r="BA12" s="21">
        <f>IF($I$11="",0,VLOOKUP($I$11,VDS!$A$2:$AJ$108,4,0))</f>
        <v>0</v>
      </c>
      <c r="BB12" s="21">
        <f>IF($I$11="",0,VLOOKUP($I$11,VDS!$A$2:$AJ$108,5,0))</f>
        <v>0</v>
      </c>
      <c r="BC12" s="21">
        <f>IF($I$11="",0,VLOOKUP($I$11,VDS!$A$2:$AJ$108,6,0))</f>
        <v>0</v>
      </c>
      <c r="BD12" s="21">
        <f>IF($I$11="",0,VLOOKUP($I$11,VDS!$A$2:$AJ$108,7,0))</f>
        <v>0</v>
      </c>
      <c r="BE12" s="21">
        <f>IF($I$11="",0,VLOOKUP($I$11,VDS!$A$2:$AJ$108,8,0)/1000)</f>
        <v>0</v>
      </c>
      <c r="BF12" s="21">
        <f>IF($I$11="",0,VLOOKUP($I$11,VDS!$A$2:$AJ$108,9,0)/1000)</f>
        <v>0</v>
      </c>
      <c r="BG12" s="21">
        <f>IF($I$11="",0,VLOOKUP($I$11,VDS!$A$2:$AJ$108,8,0)/1000)</f>
        <v>0</v>
      </c>
      <c r="BH12" s="21">
        <f>IF($I$11="",0,VLOOKUP($I$11,VDS!$A$2:$AJ$108,9,0)/1000)</f>
        <v>0</v>
      </c>
      <c r="BI12" s="21">
        <f>IF($I$11="",0,VLOOKUP($I$11,VDS!$A$2:$AJ$108,10,0))</f>
        <v>0</v>
      </c>
      <c r="BJ12" s="21">
        <f>IF($I$11="",0,VLOOKUP($I$11,VDS!$A$2:$AJ$108,11,0))</f>
        <v>0</v>
      </c>
      <c r="BK12" s="21">
        <f>IF($I$11="",0,VLOOKUP($I$11,VDS!$A$2:$AJ$108,12,0))</f>
        <v>0</v>
      </c>
      <c r="BL12" s="21">
        <f>IF($I$11="",0,VLOOKUP($I$11,VDS!$A$2:$AJ$108,13,0))</f>
        <v>0</v>
      </c>
      <c r="BM12" s="21">
        <f>IF($I$11="",0,VLOOKUP($I$11,VDS!$A$2:$AJ$108,14,0))</f>
        <v>0</v>
      </c>
      <c r="BN12" s="21">
        <f>IF($I$11="",0,100-AZ12-BA12-BB12-BC12-BD12)</f>
        <v>0</v>
      </c>
      <c r="BO12" s="21">
        <f>1-$BO$13</f>
        <v>1</v>
      </c>
      <c r="BP12" s="21">
        <f>IF($I$11&gt;0,IF($X$3&gt;0,VLOOKUP($I$11,VDS!$A$2:$AJ$108,2,0),0),0)</f>
        <v>0</v>
      </c>
      <c r="BQ12" s="21">
        <f>IF($I$11=0,0,VLOOKUP($I$11,VDS!$A$2:$AJ$108,21,0))</f>
        <v>0</v>
      </c>
      <c r="BR12" s="21">
        <f>IF($I$11=0,0,VLOOKUP($I$11,VDS!$A$2:$AJ$108,22,0))</f>
        <v>0</v>
      </c>
      <c r="BS12" s="21">
        <f>IF($I$11=0,0,VLOOKUP($I$11,VDS!$A$2:$AJ$108,23,0))</f>
        <v>0</v>
      </c>
      <c r="BT12" s="21">
        <f>IF($I$11=0,0,VLOOKUP($I$11,VDS!$A$2:$AJ$108,24,0))</f>
        <v>0</v>
      </c>
      <c r="BU12" s="21"/>
      <c r="BY12" s="265" t="s">
        <v>622</v>
      </c>
      <c r="BZ12" s="266">
        <v>1.2</v>
      </c>
      <c r="CG12" s="240" t="s">
        <v>1100</v>
      </c>
      <c r="CH12" s="21">
        <v>1.6</v>
      </c>
      <c r="CI12" s="21">
        <v>3</v>
      </c>
      <c r="CJ12" s="21">
        <v>20</v>
      </c>
      <c r="CK12" s="21">
        <v>75</v>
      </c>
      <c r="CL12" s="21">
        <v>75</v>
      </c>
      <c r="CM12" s="21">
        <v>75</v>
      </c>
      <c r="CN12" s="21">
        <f t="shared" si="0"/>
        <v>75</v>
      </c>
      <c r="CO12" s="21">
        <v>125</v>
      </c>
      <c r="CP12" s="21">
        <v>3</v>
      </c>
      <c r="CQ12" s="21">
        <v>20</v>
      </c>
      <c r="CR12" s="21">
        <v>35</v>
      </c>
      <c r="CS12" s="21">
        <v>8.5</v>
      </c>
      <c r="CT12" s="21">
        <v>50</v>
      </c>
      <c r="CU12" s="21">
        <v>11</v>
      </c>
      <c r="CV12" s="21">
        <v>1</v>
      </c>
      <c r="CW12" s="21">
        <v>14</v>
      </c>
      <c r="CX12" s="21">
        <v>1.6</v>
      </c>
      <c r="CY12" s="21">
        <v>8</v>
      </c>
      <c r="CZ12" s="21">
        <v>2.5</v>
      </c>
      <c r="DA12" s="21">
        <v>1.75</v>
      </c>
      <c r="DB12" s="21">
        <v>3.75</v>
      </c>
      <c r="DC12" s="21">
        <v>4</v>
      </c>
      <c r="DD12" s="21">
        <v>3</v>
      </c>
      <c r="DE12" s="21">
        <v>2</v>
      </c>
      <c r="DF12" s="21">
        <v>1</v>
      </c>
      <c r="DH12" s="21" t="str">
        <f>HLS!$A11</f>
        <v>Agepi Omega 3 et 6</v>
      </c>
      <c r="DI12" s="21" t="str">
        <f>LGS!$A11</f>
        <v>Courge spaghetti - CUITE</v>
      </c>
      <c r="DJ12" s="21" t="str">
        <f>FCS!$A11</f>
        <v>Tapioca - CUIT</v>
      </c>
      <c r="DK12" s="21" t="str">
        <f>VDS!$A11</f>
        <v>Bœuf, steak haché 5% MG - CUIT</v>
      </c>
      <c r="DL12" s="264"/>
      <c r="DM12" s="21" t="str">
        <f>'OPT1'!$A11</f>
        <v>5 entiers crus</v>
      </c>
      <c r="DN12" s="21" t="str">
        <f>'OPT2'!$A11</f>
        <v>Brassé 0%</v>
      </c>
    </row>
    <row r="13" spans="1:118" ht="25.2" customHeight="1">
      <c r="A13" s="30"/>
      <c r="B13" s="224"/>
      <c r="C13" s="222"/>
      <c r="D13" s="223"/>
      <c r="E13" s="36"/>
      <c r="F13" s="41" t="s">
        <v>492</v>
      </c>
      <c r="G13" s="15"/>
      <c r="H13" s="75" t="s">
        <v>182</v>
      </c>
      <c r="I13" s="214"/>
      <c r="J13" s="209"/>
      <c r="K13" s="64" t="str">
        <f>IF($I$13&gt;0,IF($Z$3&gt;0,""&amp;VLOOKUP($I$13,FCS!$A$2:$AC$100,19,0),""),"")</f>
        <v/>
      </c>
      <c r="L13" s="74"/>
      <c r="M13" s="34">
        <f>IF($I$13&gt;0,IF($Z$3&gt;0,VLOOKUP($I$13,FCS!$A$2:$AC$100,2,0),0),0)</f>
        <v>0</v>
      </c>
      <c r="N13" s="150"/>
      <c r="O13" s="34"/>
      <c r="P13" s="34"/>
      <c r="Q13" s="34"/>
      <c r="R13" s="20"/>
      <c r="S13" s="145"/>
      <c r="T13" s="144" t="s">
        <v>384</v>
      </c>
      <c r="U13" s="247"/>
      <c r="W13" s="242"/>
      <c r="X13" s="232"/>
      <c r="Y13" s="21" t="s">
        <v>182</v>
      </c>
      <c r="Z13" s="21">
        <f>IF($AA$54=8,ROUND($W$25*$M$13/100,2),0)</f>
        <v>0</v>
      </c>
      <c r="AA13" s="21">
        <f>IF($Z$13&lt;0,1,0)</f>
        <v>0</v>
      </c>
      <c r="AB13" s="21"/>
      <c r="AD13" s="21"/>
      <c r="AE13" s="21"/>
      <c r="AF13" s="21"/>
      <c r="AG13" s="21"/>
      <c r="AH13" s="21"/>
      <c r="AI13" s="21"/>
      <c r="AJ13" s="230"/>
      <c r="AK13" s="230"/>
      <c r="AL13" s="21"/>
      <c r="AM13" s="230" t="e">
        <f>IF($AA$13=0,$AM$7,$AM$9)</f>
        <v>#N/A</v>
      </c>
      <c r="AN13" s="230"/>
      <c r="AO13" s="230"/>
      <c r="AP13" s="230"/>
      <c r="AQ13" s="230"/>
      <c r="AR13" s="230"/>
      <c r="AS13" s="230"/>
      <c r="AT13" s="21"/>
      <c r="AU13" s="21"/>
      <c r="AV13" s="21"/>
      <c r="AW13" s="21"/>
      <c r="AX13" s="21" t="s">
        <v>789</v>
      </c>
      <c r="AY13" s="269" t="str">
        <f>IF($I$15="","PAS DE VIANDES",$I$15)</f>
        <v>PAS DE VIANDES</v>
      </c>
      <c r="AZ13" s="21">
        <f>IF($I$15="",0,VLOOKUP($I$15,VDS!$A$2:$AJ$108,3,0))</f>
        <v>0</v>
      </c>
      <c r="BA13" s="21">
        <f>IF($I$15="",0,VLOOKUP($I$15,VDS!$A$2:$AJ$108,4,0))</f>
        <v>0</v>
      </c>
      <c r="BB13" s="21">
        <f>IF($I$15="",0,VLOOKUP($I$15,VDS!$A$2:$AJ$108,5,0))</f>
        <v>0</v>
      </c>
      <c r="BC13" s="21">
        <f>IF($I$15="",0,VLOOKUP($I$15,VDS!$A$2:$AJ$108,6,0))</f>
        <v>0</v>
      </c>
      <c r="BD13" s="21">
        <f>IF($I$15="",0,VLOOKUP($I$15,VDS!$A$2:$AJ$108,7,0))</f>
        <v>0</v>
      </c>
      <c r="BE13" s="21">
        <f>IF($I$15="",0,VLOOKUP($I$15,VDS!$A$2:$AJ$108,8,0)/1000)</f>
        <v>0</v>
      </c>
      <c r="BF13" s="21">
        <f>IF($I$15="",0,VLOOKUP($I$15,VDS!$A$2:$AJ$108,9,0)/1000)</f>
        <v>0</v>
      </c>
      <c r="BG13" s="21">
        <f>IF($I$15="",0,VLOOKUP($I$15,VDS!$A$2:$AJ$108,8,0)/1000)</f>
        <v>0</v>
      </c>
      <c r="BH13" s="21">
        <f>IF($I$15="",0,VLOOKUP($I$15,VDS!$A$2:$AJ$108,9,0)/1000)</f>
        <v>0</v>
      </c>
      <c r="BI13" s="21">
        <f>IF($I$15="",0,VLOOKUP($I$15,VDS!$A$2:$AJ$108,10,0))</f>
        <v>0</v>
      </c>
      <c r="BJ13" s="21">
        <f>IF($I$15="",0,VLOOKUP($I$15,VDS!$A$2:$AJ$108,11,0))</f>
        <v>0</v>
      </c>
      <c r="BK13" s="21">
        <f>IF($I$15="",0,VLOOKUP($I$15,VDS!$A$2:$AJ$108,12,0))</f>
        <v>0</v>
      </c>
      <c r="BL13" s="21">
        <f>IF($I$15="",0,VLOOKUP($I$15,VDS!$A$2:$AJ$108,13,0))</f>
        <v>0</v>
      </c>
      <c r="BM13" s="21">
        <f>IF($I$15="",0,VLOOKUP($I$15,VDS!$A$2:$AJ$108,14,0))</f>
        <v>0</v>
      </c>
      <c r="BN13" s="21">
        <f>IF($I$15="",0,100-AZ13-BA13-BB13-BC13-BD13)</f>
        <v>0</v>
      </c>
      <c r="BO13" s="21">
        <f>IF($BJ$17=1,$K$15/100,0)</f>
        <v>0</v>
      </c>
      <c r="BP13" s="21">
        <f>IF($I$15&gt;0,IF($X$3&gt;0,VLOOKUP($I$15,VDS!$A$2:$AJ$108,2,0),0),0)</f>
        <v>0</v>
      </c>
      <c r="BQ13" s="21">
        <f>IF($I$15=0,0,VLOOKUP($I$15,VDS!$A$2:$AJ$108,21,0))</f>
        <v>0</v>
      </c>
      <c r="BR13" s="21">
        <f>IF($I$15=0,0,VLOOKUP($I$15,VDS!$A$2:$AJ$108,22,0))</f>
        <v>0</v>
      </c>
      <c r="BS13" s="21">
        <f>IF($I$15=0,0,VLOOKUP($I$15,VDS!$A$2:$AJ$108,23,0))</f>
        <v>0</v>
      </c>
      <c r="BT13" s="21">
        <f>IF($I$15=0,0,VLOOKUP($I$15,VDS!$A$2:$AJ$108,24,0))</f>
        <v>0</v>
      </c>
      <c r="BU13" s="21"/>
      <c r="BY13" s="265" t="s">
        <v>44</v>
      </c>
      <c r="BZ13" s="266">
        <v>1</v>
      </c>
      <c r="CG13" s="240" t="s">
        <v>1101</v>
      </c>
      <c r="CH13" s="21">
        <v>1.4</v>
      </c>
      <c r="CI13" s="21">
        <v>3</v>
      </c>
      <c r="CJ13" s="21">
        <v>18</v>
      </c>
      <c r="CK13" s="21">
        <v>75</v>
      </c>
      <c r="CL13" s="21">
        <v>75</v>
      </c>
      <c r="CM13" s="21">
        <v>75</v>
      </c>
      <c r="CN13" s="21">
        <f t="shared" si="0"/>
        <v>75</v>
      </c>
      <c r="CO13" s="21">
        <v>125</v>
      </c>
      <c r="CP13" s="21">
        <v>2.7</v>
      </c>
      <c r="CQ13" s="21">
        <v>20</v>
      </c>
      <c r="CR13" s="21">
        <v>35</v>
      </c>
      <c r="CS13" s="21">
        <v>8.5</v>
      </c>
      <c r="CT13" s="21">
        <v>50</v>
      </c>
      <c r="CU13" s="21">
        <v>11</v>
      </c>
      <c r="CV13" s="21">
        <v>1</v>
      </c>
      <c r="CW13" s="21">
        <v>14</v>
      </c>
      <c r="CX13" s="21">
        <v>1.8</v>
      </c>
      <c r="CY13" s="21">
        <v>8</v>
      </c>
      <c r="CZ13" s="21">
        <v>2.2999999999999998</v>
      </c>
      <c r="DA13" s="21">
        <v>1.5</v>
      </c>
      <c r="DB13" s="21">
        <v>3.75</v>
      </c>
      <c r="DC13" s="21">
        <v>4</v>
      </c>
      <c r="DD13" s="21">
        <v>3</v>
      </c>
      <c r="DE13" s="21">
        <v>2</v>
      </c>
      <c r="DF13" s="21">
        <v>0.5</v>
      </c>
      <c r="DH13" s="21">
        <f>HLS!$A12</f>
        <v>0</v>
      </c>
      <c r="DI13" s="21" t="str">
        <f>LGS!$A12</f>
        <v>Courgette avec peau - CRUE</v>
      </c>
      <c r="DJ13" s="21" t="str">
        <f>FCS!$A12</f>
        <v>Banane</v>
      </c>
      <c r="DK13" s="21" t="str">
        <f>VDS!$A12</f>
        <v>Bœuf, steak haché 10% MG - CRU</v>
      </c>
      <c r="DL13" s="264"/>
      <c r="DM13" s="21" t="str">
        <f>'OPT1'!$A12</f>
        <v>5 entiers cuits</v>
      </c>
      <c r="DN13" s="21" t="str">
        <f>'OPT2'!$A12</f>
        <v>Lait de chèvre 0%</v>
      </c>
    </row>
    <row r="14" spans="1:118" ht="25.2" customHeight="1">
      <c r="A14" s="30"/>
      <c r="B14" s="225"/>
      <c r="C14" s="226"/>
      <c r="D14" s="227"/>
      <c r="E14" s="36"/>
      <c r="F14" s="76"/>
      <c r="G14" s="77" t="str">
        <f>IF($W$61&gt;0,"Œuf(s) : 1 à 2 fois par semaine ","")</f>
        <v/>
      </c>
      <c r="H14" s="75" t="s">
        <v>233</v>
      </c>
      <c r="I14" s="215"/>
      <c r="J14" s="216"/>
      <c r="K14" s="64" t="str">
        <f>IF($I$14&gt;0,IF($AA$3&gt;0,""&amp;VLOOKUP($I$14,HLS!$A$2:$AC$100,19,0),""),"")</f>
        <v/>
      </c>
      <c r="L14" s="74"/>
      <c r="M14" s="34">
        <f>IF($I$14&gt;0,IF($AA$3&gt;0,VLOOKUP($I$14,HLS!$A$2:$AC$100,2,0),0),0)</f>
        <v>0</v>
      </c>
      <c r="N14" s="34"/>
      <c r="O14" s="34"/>
      <c r="P14" s="34"/>
      <c r="Q14" s="34"/>
      <c r="R14" s="20"/>
      <c r="S14" s="145"/>
      <c r="T14" s="144" t="s">
        <v>1053</v>
      </c>
      <c r="U14" s="247"/>
      <c r="W14" s="242"/>
      <c r="X14" s="271" t="s">
        <v>476</v>
      </c>
      <c r="Y14" s="253">
        <f>IF($Z$32&lt;$AE$11,$AF$11,IF($Z$32&lt;$AE$12,$AG$11,$AH$11))</f>
        <v>1.1000000000000001</v>
      </c>
      <c r="Z14" s="21" t="str">
        <f>IF($AA$54=8,$Z$32*$Y$14,"")</f>
        <v/>
      </c>
      <c r="AA14" s="21" t="e">
        <f>IF($Z$23&gt;$Z$14,1,0)</f>
        <v>#N/A</v>
      </c>
      <c r="AB14" s="21"/>
      <c r="AD14" s="21"/>
      <c r="AE14" s="21"/>
      <c r="AF14" s="21"/>
      <c r="AG14" s="21"/>
      <c r="AH14" s="21"/>
      <c r="AI14" s="21"/>
      <c r="AJ14" s="21"/>
      <c r="AK14" s="21"/>
      <c r="AL14" s="21"/>
      <c r="AM14" s="230" t="str">
        <f>IF($C$15&gt;0,IF($W$61=1,IF($Z$63=0,"",$AM$6),""),"")</f>
        <v/>
      </c>
      <c r="AN14" s="230"/>
      <c r="AO14" s="230"/>
      <c r="AP14" s="230"/>
      <c r="AQ14" s="230"/>
      <c r="AR14" s="230"/>
      <c r="AS14" s="230"/>
      <c r="AT14" s="21"/>
      <c r="AU14" s="21"/>
      <c r="AV14" s="21"/>
      <c r="AW14" s="21"/>
      <c r="AX14" s="21" t="s">
        <v>792</v>
      </c>
      <c r="AY14" s="21" t="s">
        <v>793</v>
      </c>
      <c r="AZ14" s="21">
        <f>(AZ12*$BO$12)+(AZ13*$BO$13)</f>
        <v>0</v>
      </c>
      <c r="BA14" s="21">
        <f t="shared" ref="BA14:BN14" si="1">(BA12*$BO$12)+(BA13*$BO$13)</f>
        <v>0</v>
      </c>
      <c r="BB14" s="21">
        <f t="shared" si="1"/>
        <v>0</v>
      </c>
      <c r="BC14" s="21">
        <f t="shared" si="1"/>
        <v>0</v>
      </c>
      <c r="BD14" s="21">
        <f t="shared" si="1"/>
        <v>0</v>
      </c>
      <c r="BE14" s="21">
        <f t="shared" si="1"/>
        <v>0</v>
      </c>
      <c r="BF14" s="21">
        <f t="shared" si="1"/>
        <v>0</v>
      </c>
      <c r="BG14" s="21">
        <f t="shared" si="1"/>
        <v>0</v>
      </c>
      <c r="BH14" s="21">
        <f t="shared" si="1"/>
        <v>0</v>
      </c>
      <c r="BI14" s="21">
        <f t="shared" si="1"/>
        <v>0</v>
      </c>
      <c r="BJ14" s="21">
        <f t="shared" si="1"/>
        <v>0</v>
      </c>
      <c r="BK14" s="21">
        <f t="shared" si="1"/>
        <v>0</v>
      </c>
      <c r="BL14" s="21">
        <f t="shared" si="1"/>
        <v>0</v>
      </c>
      <c r="BM14" s="21">
        <f t="shared" si="1"/>
        <v>0</v>
      </c>
      <c r="BN14" s="21">
        <f t="shared" si="1"/>
        <v>0</v>
      </c>
      <c r="BO14" s="21">
        <f>SUM($BO$12:$BO$13)</f>
        <v>1</v>
      </c>
      <c r="BP14" s="21">
        <f>(BP12*$BO$12)+(BP13*$BO$13)</f>
        <v>0</v>
      </c>
      <c r="BQ14" s="21">
        <f>((BQ12*$BO$12)+(BQ13*$BO$13))*BQ15*BQ16</f>
        <v>0</v>
      </c>
      <c r="BR14" s="21">
        <f>((BR12*$BO$12)+(BR13*$BO$13))*BR15*BR16</f>
        <v>0</v>
      </c>
      <c r="BS14" s="21">
        <f>((BS12*$BO$12)+(BS13*$BO$13))*BS15*BS16</f>
        <v>0</v>
      </c>
      <c r="BT14" s="21">
        <f>((BT12*$BO$12)+(BT13*$BO$13))*BT15*BT16</f>
        <v>0</v>
      </c>
      <c r="BU14" s="21"/>
      <c r="BY14" s="265" t="s">
        <v>132</v>
      </c>
      <c r="BZ14" s="266">
        <v>1.2</v>
      </c>
      <c r="CG14" s="240" t="s">
        <v>151</v>
      </c>
      <c r="CH14" s="21">
        <v>1.2</v>
      </c>
      <c r="CI14" s="21">
        <v>3</v>
      </c>
      <c r="CJ14" s="21">
        <v>18</v>
      </c>
      <c r="CK14" s="21">
        <v>70</v>
      </c>
      <c r="CL14" s="21">
        <v>70</v>
      </c>
      <c r="CM14" s="21">
        <v>70</v>
      </c>
      <c r="CN14" s="21">
        <f t="shared" si="0"/>
        <v>70</v>
      </c>
      <c r="CO14" s="21">
        <v>130</v>
      </c>
      <c r="CP14" s="21">
        <v>2.4</v>
      </c>
      <c r="CQ14" s="21">
        <v>20</v>
      </c>
      <c r="CR14" s="21">
        <v>35</v>
      </c>
      <c r="CS14" s="21">
        <v>8.5</v>
      </c>
      <c r="CT14" s="21">
        <v>50</v>
      </c>
      <c r="CU14" s="21">
        <v>11</v>
      </c>
      <c r="CV14" s="21">
        <v>1</v>
      </c>
      <c r="CW14" s="21">
        <v>14</v>
      </c>
      <c r="CX14" s="21">
        <v>1.8</v>
      </c>
      <c r="CY14" s="21">
        <v>8</v>
      </c>
      <c r="CZ14" s="21">
        <v>2</v>
      </c>
      <c r="DA14" s="21">
        <v>1.25</v>
      </c>
      <c r="DB14" s="21">
        <v>3.75</v>
      </c>
      <c r="DC14" s="21">
        <v>4</v>
      </c>
      <c r="DD14" s="21">
        <v>3</v>
      </c>
      <c r="DE14" s="21">
        <v>2</v>
      </c>
      <c r="DF14" s="21">
        <v>0.5</v>
      </c>
      <c r="DH14" s="21">
        <f>HLS!$A13</f>
        <v>0</v>
      </c>
      <c r="DI14" s="21" t="str">
        <f>LGS!$A13</f>
        <v>Courgette avec peau - CUITE</v>
      </c>
      <c r="DJ14" s="21" t="str">
        <f>FCS!$A13</f>
        <v>Banane plantain - CUITE</v>
      </c>
      <c r="DK14" s="21" t="str">
        <f>VDS!$A13</f>
        <v>Bœuf, steak haché 10% MG - CUIT</v>
      </c>
      <c r="DL14" s="264"/>
      <c r="DM14" s="21" t="str">
        <f>'OPT1'!$A13</f>
        <v>6 entiers crus</v>
      </c>
      <c r="DN14" s="21">
        <f>'OPT2'!$A13</f>
        <v>0</v>
      </c>
    </row>
    <row r="15" spans="1:118" ht="25.2" customHeight="1">
      <c r="A15" s="30"/>
      <c r="B15" s="41" t="s">
        <v>481</v>
      </c>
      <c r="C15" s="10"/>
      <c r="D15" s="42" t="s">
        <v>482</v>
      </c>
      <c r="E15" s="36"/>
      <c r="F15" s="78"/>
      <c r="G15" s="79" t="str">
        <f>IF($W$57&gt;0,"Yaourt(s) : possible tous les jours ","")</f>
        <v/>
      </c>
      <c r="H15" s="63" t="s">
        <v>785</v>
      </c>
      <c r="I15" s="212"/>
      <c r="J15" s="213"/>
      <c r="K15" s="15"/>
      <c r="L15" s="42" t="s">
        <v>786</v>
      </c>
      <c r="M15" s="34"/>
      <c r="N15" s="32"/>
      <c r="O15" s="32"/>
      <c r="P15" s="32"/>
      <c r="Q15" s="32"/>
      <c r="R15" s="20"/>
      <c r="S15" s="145"/>
      <c r="T15" s="144" t="s">
        <v>1054</v>
      </c>
      <c r="U15" s="247"/>
      <c r="V15" s="262"/>
      <c r="W15" s="242"/>
      <c r="X15" s="271" t="s">
        <v>477</v>
      </c>
      <c r="Y15" s="253">
        <f>IF($Z$32&lt;$AE$11,$AF$12,IF($Z$32&lt;$AE$12,$AG$12,$AH$12))</f>
        <v>0.9</v>
      </c>
      <c r="Z15" s="21" t="str">
        <f>IF($AA$54=8,$Z$32*$Y$15,"")</f>
        <v/>
      </c>
      <c r="AA15" s="21" t="e">
        <f>IF($Z$23&lt;$Z$15,1,0)</f>
        <v>#N/A</v>
      </c>
      <c r="AB15" s="21"/>
      <c r="AD15" s="21"/>
      <c r="AE15" s="243" t="s">
        <v>762</v>
      </c>
      <c r="AF15" s="243"/>
      <c r="AG15" s="243"/>
      <c r="AH15" s="243"/>
      <c r="AI15" s="21"/>
      <c r="AJ15" s="243" t="s">
        <v>833</v>
      </c>
      <c r="AK15" s="243"/>
      <c r="AL15" s="21"/>
      <c r="AM15" s="230" t="str">
        <f>IF($AA$47=1,IF($AA$16&gt;0,IF($Z$63=0,$AM$13,""),""),"")</f>
        <v/>
      </c>
      <c r="AN15" s="230"/>
      <c r="AO15" s="230"/>
      <c r="AP15" s="230"/>
      <c r="AQ15" s="230"/>
      <c r="AR15" s="230"/>
      <c r="AS15" s="230"/>
      <c r="AT15" s="21"/>
      <c r="AU15" s="21"/>
      <c r="AV15" s="21"/>
      <c r="AW15" s="21"/>
      <c r="AX15" s="21"/>
      <c r="AY15" s="21" t="s">
        <v>794</v>
      </c>
      <c r="AZ15" s="21" t="e">
        <f>$W$21+$W$20</f>
        <v>#N/A</v>
      </c>
      <c r="BA15" s="21"/>
      <c r="BB15" s="21"/>
      <c r="BC15" s="21"/>
      <c r="BD15" s="21"/>
      <c r="BE15" s="21"/>
      <c r="BF15" s="21"/>
      <c r="BG15" s="21"/>
      <c r="BH15" s="21"/>
      <c r="BI15" s="262"/>
      <c r="BJ15" s="21"/>
      <c r="BK15" s="21"/>
      <c r="BL15" s="21"/>
      <c r="BM15" s="21"/>
      <c r="BN15" s="21"/>
      <c r="BO15" s="21"/>
      <c r="BP15" s="21" t="s">
        <v>810</v>
      </c>
      <c r="BQ15" s="21">
        <f>IF($BO$12&gt;0,IF(BQ12&gt;0,1,$BU$16),1)</f>
        <v>0.8</v>
      </c>
      <c r="BR15" s="21">
        <f>IF($BO$12&gt;0,IF(BR12&gt;0,1,$BU$16),1)</f>
        <v>0.8</v>
      </c>
      <c r="BS15" s="21">
        <f>IF($BO$12&gt;0,IF(BS12&gt;0,1,$BU$16),1)</f>
        <v>0.8</v>
      </c>
      <c r="BT15" s="21">
        <f>IF($BO$12&gt;0,IF(BT12&gt;0,1,$BU$16),1)</f>
        <v>0.8</v>
      </c>
      <c r="BU15" s="232" t="s">
        <v>830</v>
      </c>
      <c r="BV15" s="254"/>
      <c r="BY15" s="265" t="s">
        <v>45</v>
      </c>
      <c r="BZ15" s="266">
        <v>1</v>
      </c>
      <c r="CG15" s="240" t="s">
        <v>152</v>
      </c>
      <c r="CH15" s="21">
        <v>1.1000000000000001</v>
      </c>
      <c r="CI15" s="21">
        <v>3</v>
      </c>
      <c r="CJ15" s="21">
        <v>15</v>
      </c>
      <c r="CK15" s="21">
        <v>70</v>
      </c>
      <c r="CL15" s="21">
        <v>70</v>
      </c>
      <c r="CM15" s="21">
        <v>70</v>
      </c>
      <c r="CN15" s="21">
        <f t="shared" si="0"/>
        <v>70</v>
      </c>
      <c r="CO15" s="21">
        <v>140</v>
      </c>
      <c r="CP15" s="21">
        <v>2.2000000000000002</v>
      </c>
      <c r="CQ15" s="21">
        <v>20</v>
      </c>
      <c r="CR15" s="21">
        <v>35</v>
      </c>
      <c r="CS15" s="21">
        <v>8.5</v>
      </c>
      <c r="CT15" s="21">
        <v>50</v>
      </c>
      <c r="CU15" s="21">
        <v>11</v>
      </c>
      <c r="CV15" s="21">
        <v>1</v>
      </c>
      <c r="CW15" s="21">
        <v>14</v>
      </c>
      <c r="CX15" s="21">
        <v>1.8</v>
      </c>
      <c r="CY15" s="21">
        <v>8</v>
      </c>
      <c r="CZ15" s="21">
        <v>1.25</v>
      </c>
      <c r="DA15" s="21">
        <v>1.1000000000000001</v>
      </c>
      <c r="DB15" s="21">
        <v>4</v>
      </c>
      <c r="DC15" s="21">
        <v>4</v>
      </c>
      <c r="DD15" s="21">
        <v>3</v>
      </c>
      <c r="DE15" s="21">
        <v>2</v>
      </c>
      <c r="DF15" s="21">
        <v>0</v>
      </c>
      <c r="DH15" s="21">
        <f>HLS!$A14</f>
        <v>0</v>
      </c>
      <c r="DI15" s="21" t="str">
        <f>LGS!$A14</f>
        <v>Concombre avec peau - CRU</v>
      </c>
      <c r="DJ15" s="21" t="str">
        <f>FCS!$A14</f>
        <v>Quinoa - CUIT</v>
      </c>
      <c r="DK15" s="21" t="str">
        <f>VDS!$A14</f>
        <v>Bœuf, steak haché 15% MG - CRU</v>
      </c>
      <c r="DL15" s="264"/>
      <c r="DM15" s="21" t="str">
        <f>'OPT1'!$A14</f>
        <v>6 entiers cuits</v>
      </c>
      <c r="DN15" s="21">
        <f>'OPT2'!$A14</f>
        <v>0</v>
      </c>
    </row>
    <row r="16" spans="1:118" ht="25.2" customHeight="1">
      <c r="A16" s="30"/>
      <c r="B16" s="182" t="s">
        <v>934</v>
      </c>
      <c r="C16" s="183"/>
      <c r="D16" s="184"/>
      <c r="E16" s="36"/>
      <c r="F16" s="110"/>
      <c r="G16" s="111"/>
      <c r="H16" s="111"/>
      <c r="I16" s="111"/>
      <c r="J16" s="111"/>
      <c r="K16" s="111"/>
      <c r="L16" s="112"/>
      <c r="M16" s="34"/>
      <c r="N16" s="34"/>
      <c r="O16" s="34"/>
      <c r="P16" s="34"/>
      <c r="Q16" s="34"/>
      <c r="R16" s="20"/>
      <c r="S16" s="145"/>
      <c r="T16" s="143"/>
      <c r="U16" s="247"/>
      <c r="W16" s="242"/>
      <c r="X16" s="271" t="s">
        <v>480</v>
      </c>
      <c r="Y16" s="253" t="s">
        <v>478</v>
      </c>
      <c r="Z16" s="21" t="e">
        <f>ROUND(($Z$23-$Z$32)*100/$Z$32,2)</f>
        <v>#N/A</v>
      </c>
      <c r="AA16" s="21">
        <f>IF((SUM($AA$39:$AA$52)+$X$53)=14,SUM(AA10:AA15),0)</f>
        <v>0</v>
      </c>
      <c r="AB16" s="21"/>
      <c r="AD16" s="21"/>
      <c r="AE16" s="21" t="s">
        <v>763</v>
      </c>
      <c r="AF16" s="21" t="s">
        <v>764</v>
      </c>
      <c r="AG16" s="21" t="s">
        <v>765</v>
      </c>
      <c r="AH16" s="21" t="s">
        <v>766</v>
      </c>
      <c r="AI16" s="21"/>
      <c r="AJ16" s="21" t="str">
        <f>IF($I$7&lt;&gt;"",IF($I$7=$AD$28,"MANU","AUTO"),"VIDE")</f>
        <v>VIDE</v>
      </c>
      <c r="AK16" s="21">
        <f>IF($I$7&lt;&gt;"",IF($I$7=$AD$28,2,1),0)</f>
        <v>0</v>
      </c>
      <c r="AL16" s="21"/>
      <c r="AM16" s="230" t="str">
        <f>IF($AB$51&lt;0,$AM$10,"")</f>
        <v/>
      </c>
      <c r="AN16" s="230"/>
      <c r="AO16" s="230"/>
      <c r="AP16" s="230"/>
      <c r="AQ16" s="230"/>
      <c r="AR16" s="230"/>
      <c r="AS16" s="230"/>
      <c r="AT16" s="21"/>
      <c r="AU16" s="21"/>
      <c r="AV16" s="21"/>
      <c r="AW16" s="21"/>
      <c r="AX16" s="21"/>
      <c r="AY16" s="21" t="s">
        <v>795</v>
      </c>
      <c r="AZ16" s="253" t="e">
        <f>IF($I$7=$AD$28,ROUNDUP($AZ$15*$BO$12,0),$BK$81)</f>
        <v>#N/A</v>
      </c>
      <c r="BA16" s="272" t="s">
        <v>891</v>
      </c>
      <c r="BB16" s="21"/>
      <c r="BC16" s="232" t="s">
        <v>799</v>
      </c>
      <c r="BD16" s="232"/>
      <c r="BE16" s="232"/>
      <c r="BF16" s="21"/>
      <c r="BG16" s="21"/>
      <c r="BH16" s="21" t="s">
        <v>812</v>
      </c>
      <c r="BI16" s="21" t="s">
        <v>813</v>
      </c>
      <c r="BJ16" s="21" t="s">
        <v>814</v>
      </c>
      <c r="BK16" s="21"/>
      <c r="BL16" s="21"/>
      <c r="BM16" s="21"/>
      <c r="BN16" s="21"/>
      <c r="BO16" s="21"/>
      <c r="BP16" s="21" t="s">
        <v>811</v>
      </c>
      <c r="BQ16" s="21">
        <f>IF($BO$13&gt;0,IF(BQ13&gt;0,1,$BU$16),1)</f>
        <v>1</v>
      </c>
      <c r="BR16" s="21">
        <f>IF($BO$13&gt;0,IF(BR13&gt;0,1,$BU$16),1)</f>
        <v>1</v>
      </c>
      <c r="BS16" s="21">
        <f>IF($BO$13&gt;0,IF(BS13&gt;0,1,$BU$16),1)</f>
        <v>1</v>
      </c>
      <c r="BT16" s="21">
        <f>IF($BO$13&gt;0,IF(BT13&gt;0,1,$BU$16),1)</f>
        <v>1</v>
      </c>
      <c r="BU16" s="21">
        <v>0.8</v>
      </c>
      <c r="BY16" s="265" t="s">
        <v>623</v>
      </c>
      <c r="BZ16" s="266">
        <v>1</v>
      </c>
      <c r="CG16" s="240" t="s">
        <v>153</v>
      </c>
      <c r="CH16" s="21">
        <v>1.6</v>
      </c>
      <c r="CI16" s="21">
        <v>3</v>
      </c>
      <c r="CJ16" s="21">
        <v>20</v>
      </c>
      <c r="CK16" s="21">
        <v>80</v>
      </c>
      <c r="CL16" s="21">
        <v>80</v>
      </c>
      <c r="CM16" s="21">
        <v>80</v>
      </c>
      <c r="CN16" s="21">
        <f t="shared" si="0"/>
        <v>80</v>
      </c>
      <c r="CO16" s="21">
        <v>125</v>
      </c>
      <c r="CP16" s="21">
        <v>3</v>
      </c>
      <c r="CQ16" s="21">
        <v>20</v>
      </c>
      <c r="CR16" s="21">
        <v>35</v>
      </c>
      <c r="CS16" s="21">
        <v>8.5</v>
      </c>
      <c r="CT16" s="21">
        <v>50</v>
      </c>
      <c r="CU16" s="21">
        <v>11</v>
      </c>
      <c r="CV16" s="21">
        <v>1</v>
      </c>
      <c r="CW16" s="21">
        <v>14</v>
      </c>
      <c r="CX16" s="21">
        <v>1.6</v>
      </c>
      <c r="CY16" s="21">
        <v>8</v>
      </c>
      <c r="CZ16" s="21">
        <v>2.5</v>
      </c>
      <c r="DA16" s="21">
        <v>1.75</v>
      </c>
      <c r="DB16" s="21">
        <v>3.75</v>
      </c>
      <c r="DC16" s="21">
        <v>4</v>
      </c>
      <c r="DD16" s="21">
        <v>3</v>
      </c>
      <c r="DE16" s="21">
        <v>2</v>
      </c>
      <c r="DF16" s="21">
        <v>1</v>
      </c>
      <c r="DH16" s="21">
        <f>HLS!$A15</f>
        <v>0</v>
      </c>
      <c r="DI16" s="21" t="str">
        <f>LGS!$A15</f>
        <v>Endive - CUITE</v>
      </c>
      <c r="DJ16" s="21">
        <f>FCS!$A15</f>
        <v>0</v>
      </c>
      <c r="DK16" s="21" t="str">
        <f>VDS!$A15</f>
        <v>Bœuf, steak haché 15% MG - CUIT</v>
      </c>
      <c r="DL16" s="264"/>
      <c r="DM16" s="21" t="str">
        <f>'OPT1'!$A15</f>
        <v>7 entiers crus</v>
      </c>
      <c r="DN16" s="21">
        <f>'OPT2'!$A15</f>
        <v>0</v>
      </c>
    </row>
    <row r="17" spans="1:118" ht="25.2" customHeight="1" thickBot="1">
      <c r="A17" s="30"/>
      <c r="B17" s="185"/>
      <c r="C17" s="183"/>
      <c r="D17" s="184"/>
      <c r="E17" s="38"/>
      <c r="F17" s="180" t="s">
        <v>975</v>
      </c>
      <c r="G17" s="181"/>
      <c r="H17" s="109"/>
      <c r="I17" s="22" t="str">
        <f>$AS$20</f>
        <v/>
      </c>
      <c r="J17" s="80"/>
      <c r="K17" s="80"/>
      <c r="L17" s="81"/>
      <c r="M17" s="34"/>
      <c r="N17" s="34"/>
      <c r="O17" s="34"/>
      <c r="P17" s="34"/>
      <c r="Q17" s="34"/>
      <c r="R17" s="20"/>
      <c r="S17" s="147"/>
      <c r="T17" s="148"/>
      <c r="U17" s="148"/>
      <c r="V17" s="273"/>
      <c r="W17" s="21"/>
      <c r="X17" s="21"/>
      <c r="Z17" s="21"/>
      <c r="AA17" s="21"/>
      <c r="AB17" s="21"/>
      <c r="AD17" s="21"/>
      <c r="AE17" s="21">
        <f>$L$9</f>
        <v>0</v>
      </c>
      <c r="AF17" s="21">
        <f>IF($M$14&gt;0,ROUNDDOWN(($Z$32/100*$AE$17)/(2*$M$14/100),0)*2,0)</f>
        <v>0</v>
      </c>
      <c r="AG17" s="21">
        <f>$AF$17*$M$14/100</f>
        <v>0</v>
      </c>
      <c r="AH17" s="21">
        <f>ROUND(100*$AG$17/$Z$32,2)</f>
        <v>0</v>
      </c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 t="s">
        <v>796</v>
      </c>
      <c r="AZ17" s="253">
        <f>IF($I$7=$AD$28,ROUNDUP($AZ$15*$BO$13,0),$BK$82)</f>
        <v>0</v>
      </c>
      <c r="BA17" s="272"/>
      <c r="BB17" s="21"/>
      <c r="BC17" s="21"/>
      <c r="BD17" s="21">
        <f>IF($BO$13&gt;0,1,0)</f>
        <v>0</v>
      </c>
      <c r="BE17" s="21"/>
      <c r="BF17" s="21"/>
      <c r="BG17" s="21"/>
      <c r="BH17" s="21">
        <f>IF($I$15&lt;&gt;"",1,0)</f>
        <v>0</v>
      </c>
      <c r="BI17" s="21">
        <f>IF($I$15=$I$11,2,0)</f>
        <v>2</v>
      </c>
      <c r="BJ17" s="21">
        <f>$BH$17+$BI$17</f>
        <v>2</v>
      </c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Y17" s="265" t="s">
        <v>624</v>
      </c>
      <c r="BZ17" s="266">
        <v>1</v>
      </c>
      <c r="CG17" s="240" t="s">
        <v>1102</v>
      </c>
      <c r="CH17" s="21">
        <v>1.4</v>
      </c>
      <c r="CI17" s="21">
        <v>3</v>
      </c>
      <c r="CJ17" s="21">
        <v>18</v>
      </c>
      <c r="CK17" s="21">
        <v>80</v>
      </c>
      <c r="CL17" s="21">
        <v>80</v>
      </c>
      <c r="CM17" s="21">
        <v>80</v>
      </c>
      <c r="CN17" s="21">
        <f t="shared" si="0"/>
        <v>80</v>
      </c>
      <c r="CO17" s="21">
        <v>125</v>
      </c>
      <c r="CP17" s="21">
        <v>2.7</v>
      </c>
      <c r="CQ17" s="21">
        <v>20</v>
      </c>
      <c r="CR17" s="21">
        <v>35</v>
      </c>
      <c r="CS17" s="21">
        <v>8.5</v>
      </c>
      <c r="CT17" s="21">
        <v>50</v>
      </c>
      <c r="CU17" s="21">
        <v>11</v>
      </c>
      <c r="CV17" s="21">
        <v>1</v>
      </c>
      <c r="CW17" s="21">
        <v>14</v>
      </c>
      <c r="CX17" s="21">
        <v>1.8</v>
      </c>
      <c r="CY17" s="21">
        <v>8</v>
      </c>
      <c r="CZ17" s="21">
        <v>2.2999999999999998</v>
      </c>
      <c r="DA17" s="21">
        <v>1.5</v>
      </c>
      <c r="DB17" s="21">
        <v>3.75</v>
      </c>
      <c r="DC17" s="21">
        <v>4</v>
      </c>
      <c r="DD17" s="21">
        <v>3</v>
      </c>
      <c r="DE17" s="21">
        <v>2</v>
      </c>
      <c r="DF17" s="21">
        <v>0.5</v>
      </c>
      <c r="DH17" s="21">
        <f>HLS!$A16</f>
        <v>0</v>
      </c>
      <c r="DI17" s="21" t="str">
        <f>LGS!$A16</f>
        <v>Fenouil - CUIT</v>
      </c>
      <c r="DJ17" s="21">
        <f>FCS!$A16</f>
        <v>0</v>
      </c>
      <c r="DK17" s="21" t="str">
        <f>VDS!$A16</f>
        <v>Canard, viande - CRUE</v>
      </c>
      <c r="DL17" s="264"/>
      <c r="DM17" s="21" t="str">
        <f>'OPT1'!$A16</f>
        <v>7 entiers cuits</v>
      </c>
      <c r="DN17" s="21">
        <f>'OPT2'!$A16</f>
        <v>0</v>
      </c>
    </row>
    <row r="18" spans="1:118" ht="25.2" customHeight="1">
      <c r="A18" s="30"/>
      <c r="B18" s="185"/>
      <c r="C18" s="183"/>
      <c r="D18" s="184"/>
      <c r="E18" s="38"/>
      <c r="F18" s="186" t="str">
        <f>IF($AA$55=15,IF($BV$80&gt;0,$BQ$80,"  ")&amp;$BQ$76&amp;$BQ$79&amp;$BQ$75&amp;BQ$74&amp;BQ77&amp;$X$106,"")</f>
        <v/>
      </c>
      <c r="G18" s="187"/>
      <c r="H18" s="187"/>
      <c r="I18" s="22" t="str">
        <f>IF($BD$17=0,$AS$22,$AS$21)</f>
        <v/>
      </c>
      <c r="J18" s="80"/>
      <c r="K18" s="80"/>
      <c r="L18" s="81"/>
      <c r="M18" s="34"/>
      <c r="N18" s="34"/>
      <c r="O18" s="34"/>
      <c r="P18" s="34"/>
      <c r="Q18" s="34"/>
      <c r="R18" s="16"/>
      <c r="S18" s="16"/>
      <c r="T18" s="16"/>
      <c r="U18" s="12"/>
      <c r="W18" s="21"/>
      <c r="Z18" s="21"/>
      <c r="AA18" s="21"/>
      <c r="AB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 t="s">
        <v>798</v>
      </c>
      <c r="AZ18" s="21" t="e">
        <f>SUM($AZ$16:$AZ$17)</f>
        <v>#N/A</v>
      </c>
      <c r="BA18" s="21"/>
      <c r="BB18" s="21"/>
      <c r="BC18" s="21"/>
      <c r="BD18" s="21"/>
      <c r="BE18" s="21"/>
      <c r="BF18" s="21"/>
      <c r="BG18" s="21"/>
      <c r="BH18" s="21"/>
      <c r="BI18" s="262"/>
      <c r="BQ18" s="21">
        <f>IF($I$11&lt;&gt;"",VLOOKUP($I$11,VDS!$A$2:$AJ$108,25,0),0)</f>
        <v>0</v>
      </c>
      <c r="BR18" s="21" t="s">
        <v>822</v>
      </c>
      <c r="BY18" s="265" t="s">
        <v>625</v>
      </c>
      <c r="BZ18" s="266">
        <v>1</v>
      </c>
      <c r="CB18" s="232" t="s">
        <v>150</v>
      </c>
      <c r="CC18" s="232"/>
      <c r="CD18" s="21" t="s">
        <v>277</v>
      </c>
      <c r="CE18" s="21" t="s">
        <v>278</v>
      </c>
      <c r="CG18" s="240" t="s">
        <v>1103</v>
      </c>
      <c r="CH18" s="21">
        <v>1.2</v>
      </c>
      <c r="CI18" s="21">
        <v>3</v>
      </c>
      <c r="CJ18" s="21">
        <v>15</v>
      </c>
      <c r="CK18" s="21">
        <v>75</v>
      </c>
      <c r="CL18" s="21">
        <v>75</v>
      </c>
      <c r="CM18" s="21">
        <v>75</v>
      </c>
      <c r="CN18" s="21">
        <f t="shared" si="0"/>
        <v>75</v>
      </c>
      <c r="CO18" s="21">
        <v>130</v>
      </c>
      <c r="CP18" s="21">
        <v>2.4</v>
      </c>
      <c r="CQ18" s="21">
        <v>20</v>
      </c>
      <c r="CR18" s="21">
        <v>35</v>
      </c>
      <c r="CS18" s="21">
        <v>8.5</v>
      </c>
      <c r="CT18" s="21">
        <v>50</v>
      </c>
      <c r="CU18" s="21">
        <v>11</v>
      </c>
      <c r="CV18" s="21">
        <v>1</v>
      </c>
      <c r="CW18" s="21">
        <v>14</v>
      </c>
      <c r="CX18" s="21">
        <v>1.8</v>
      </c>
      <c r="CY18" s="21">
        <v>8</v>
      </c>
      <c r="CZ18" s="21">
        <v>2</v>
      </c>
      <c r="DA18" s="21">
        <v>1.25</v>
      </c>
      <c r="DB18" s="21">
        <v>4</v>
      </c>
      <c r="DC18" s="21">
        <v>4</v>
      </c>
      <c r="DD18" s="21">
        <v>3</v>
      </c>
      <c r="DE18" s="21">
        <v>2</v>
      </c>
      <c r="DF18" s="21">
        <v>0.5</v>
      </c>
      <c r="DH18" s="21">
        <f>HLS!$A17</f>
        <v>0</v>
      </c>
      <c r="DI18" s="21" t="str">
        <f>LGS!$A17</f>
        <v>Haricot vert - CUIT</v>
      </c>
      <c r="DJ18" s="21">
        <f>FCS!$A17</f>
        <v>0</v>
      </c>
      <c r="DK18" s="21" t="str">
        <f>VDS!$A17</f>
        <v>Canard, viande - CUITE</v>
      </c>
      <c r="DL18" s="264"/>
      <c r="DM18" s="21" t="str">
        <f>'OPT1'!$A17</f>
        <v>8 entiers crus</v>
      </c>
      <c r="DN18" s="21">
        <f>'OPT2'!$A17</f>
        <v>0</v>
      </c>
    </row>
    <row r="19" spans="1:118" ht="25.2" customHeight="1">
      <c r="A19" s="30"/>
      <c r="B19" s="43" t="s">
        <v>483</v>
      </c>
      <c r="C19" s="178"/>
      <c r="D19" s="179"/>
      <c r="E19" s="39" t="str">
        <f>IF($C$19&lt;&gt;"",VLOOKUP($C$19,$BY$4:$BZ$204,2,0),"")</f>
        <v/>
      </c>
      <c r="F19" s="188"/>
      <c r="G19" s="187"/>
      <c r="H19" s="187"/>
      <c r="I19" s="22" t="str">
        <f>IF($BD$17=0,$AS$23,$AS$22)</f>
        <v/>
      </c>
      <c r="J19" s="80"/>
      <c r="K19" s="80"/>
      <c r="L19" s="81"/>
      <c r="M19" s="34"/>
      <c r="N19" s="149"/>
      <c r="O19" s="139"/>
      <c r="P19" s="139"/>
      <c r="Q19" s="34"/>
      <c r="R19" s="16"/>
      <c r="S19" s="16"/>
      <c r="T19" s="16"/>
      <c r="U19" s="12"/>
      <c r="W19" s="255" t="s">
        <v>825</v>
      </c>
      <c r="X19" s="243"/>
      <c r="Y19" s="249" t="s">
        <v>505</v>
      </c>
      <c r="Z19" s="21"/>
      <c r="AA19" s="21"/>
      <c r="AB19" s="21"/>
      <c r="AD19" s="21" t="s">
        <v>969</v>
      </c>
      <c r="AE19" s="243" t="s">
        <v>386</v>
      </c>
      <c r="AF19" s="256"/>
      <c r="AG19" s="21" t="s">
        <v>387</v>
      </c>
      <c r="AH19" s="21" t="s">
        <v>388</v>
      </c>
      <c r="AI19" s="21" t="s">
        <v>970</v>
      </c>
      <c r="AJ19" s="21">
        <f>IF($M$12&gt;0,ROUNDUP($Z$32*$AE$51/$M$12,0),0)</f>
        <v>0</v>
      </c>
      <c r="AK19" s="21"/>
      <c r="AL19" s="21"/>
      <c r="AM19" s="21"/>
      <c r="AN19" s="243" t="s">
        <v>519</v>
      </c>
      <c r="AO19" s="232"/>
      <c r="AP19" s="232"/>
      <c r="AQ19" s="249"/>
      <c r="AR19" s="243" t="s">
        <v>800</v>
      </c>
      <c r="AS19" s="243"/>
      <c r="AT19" s="243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62"/>
      <c r="BQ19" s="21">
        <f>IF($I$15&lt;&gt;"",VLOOKUP($I$15,VDS!$A$2:$AJ$108,25,0),0)</f>
        <v>0</v>
      </c>
      <c r="BR19" s="21" t="s">
        <v>824</v>
      </c>
      <c r="BY19" s="265" t="s">
        <v>626</v>
      </c>
      <c r="BZ19" s="266">
        <v>0.9</v>
      </c>
      <c r="CB19" s="230" t="s">
        <v>1034</v>
      </c>
      <c r="CC19" s="21">
        <v>1</v>
      </c>
      <c r="CD19" s="21">
        <v>0</v>
      </c>
      <c r="CE19" s="21">
        <v>0</v>
      </c>
      <c r="CG19" s="240" t="s">
        <v>154</v>
      </c>
      <c r="CH19" s="21">
        <v>1.1000000000000001</v>
      </c>
      <c r="CI19" s="21">
        <v>3</v>
      </c>
      <c r="CJ19" s="21">
        <v>15</v>
      </c>
      <c r="CK19" s="21">
        <v>75</v>
      </c>
      <c r="CL19" s="21">
        <v>75</v>
      </c>
      <c r="CM19" s="21">
        <v>75</v>
      </c>
      <c r="CN19" s="21">
        <f t="shared" si="0"/>
        <v>75</v>
      </c>
      <c r="CO19" s="21">
        <v>140</v>
      </c>
      <c r="CP19" s="21">
        <v>2.2000000000000002</v>
      </c>
      <c r="CQ19" s="21">
        <v>20</v>
      </c>
      <c r="CR19" s="21">
        <v>35</v>
      </c>
      <c r="CS19" s="21">
        <v>8.5</v>
      </c>
      <c r="CT19" s="21">
        <v>50</v>
      </c>
      <c r="CU19" s="21">
        <v>11</v>
      </c>
      <c r="CV19" s="21">
        <v>1</v>
      </c>
      <c r="CW19" s="21">
        <v>14</v>
      </c>
      <c r="CX19" s="21">
        <v>1.8</v>
      </c>
      <c r="CY19" s="21">
        <v>8</v>
      </c>
      <c r="CZ19" s="21">
        <v>1.25</v>
      </c>
      <c r="DA19" s="21">
        <v>1.1000000000000001</v>
      </c>
      <c r="DB19" s="21">
        <v>4</v>
      </c>
      <c r="DC19" s="21">
        <v>4</v>
      </c>
      <c r="DD19" s="21">
        <v>3</v>
      </c>
      <c r="DE19" s="21">
        <v>2</v>
      </c>
      <c r="DF19" s="21">
        <v>0</v>
      </c>
      <c r="DH19" s="21">
        <f>HLS!$A18</f>
        <v>0</v>
      </c>
      <c r="DI19" s="21" t="str">
        <f>LGS!$A18</f>
        <v>Haricot vert surgelé - CUIT</v>
      </c>
      <c r="DJ19" s="21">
        <f>FCS!$A18</f>
        <v>0</v>
      </c>
      <c r="DK19" s="21" t="str">
        <f>VDS!$A18</f>
        <v>Cheval, faux-filet - CRU</v>
      </c>
      <c r="DL19" s="264"/>
      <c r="DM19" s="21" t="str">
        <f>'OPT1'!$A18</f>
        <v>8 entiers cuits</v>
      </c>
      <c r="DN19" s="21">
        <f>'OPT2'!$A18</f>
        <v>0</v>
      </c>
    </row>
    <row r="20" spans="1:118" ht="25.2" customHeight="1">
      <c r="A20" s="30"/>
      <c r="B20" s="43" t="s">
        <v>485</v>
      </c>
      <c r="C20" s="178"/>
      <c r="D20" s="179"/>
      <c r="E20" s="39" t="str">
        <f>IF($AJ$11=1,1,IF($C$21&lt;&gt;"",VLOOKUP($C$21,$CB$4:$CE$9,2,0),""))</f>
        <v/>
      </c>
      <c r="F20" s="188"/>
      <c r="G20" s="187"/>
      <c r="H20" s="187"/>
      <c r="I20" s="22" t="str">
        <f>IF($BD$17=0,$AS$24,$AS$23)</f>
        <v/>
      </c>
      <c r="J20" s="80"/>
      <c r="K20" s="80"/>
      <c r="L20" s="82"/>
      <c r="M20" s="34"/>
      <c r="N20" s="149"/>
      <c r="O20" s="139"/>
      <c r="P20" s="139"/>
      <c r="Q20" s="34"/>
      <c r="R20" s="16"/>
      <c r="S20" s="16"/>
      <c r="T20" s="16"/>
      <c r="U20" s="7"/>
      <c r="W20" s="21" t="e">
        <f>IF($I$7=$AD$28,0,IF(CTRL!C4&gt;0,IF($X$21&gt;$W$21,ROUNDUP(($X$21-$W$21)/(($M$11/$M$13)+1),0),0),0))</f>
        <v>#N/A</v>
      </c>
      <c r="X20" s="21" t="e">
        <f>IF($I$7=$AD$28,0,IF(CTRL!C4&gt;0,IF($X$21&gt;$W$21,ROUNDUP($W$20*$M$11/$M$13,0),0),0))</f>
        <v>#N/A</v>
      </c>
      <c r="Y20" s="232" t="str">
        <f>CTRL!B4</f>
        <v>actif</v>
      </c>
      <c r="Z20" s="21"/>
      <c r="AA20" s="21"/>
      <c r="AB20" s="21"/>
      <c r="AD20" s="21">
        <f>IF($M$12&gt;0,ROUNDUP($Y$32*10/$M$12,0),0)</f>
        <v>0</v>
      </c>
      <c r="AE20" s="21" t="s">
        <v>389</v>
      </c>
      <c r="AF20" s="21">
        <f>IF($I$12&gt;0,IF($Y$3&gt;0,VLOOKUP($I$12,LGS!$A$2:$AC$100,21,0),0),0)</f>
        <v>0</v>
      </c>
      <c r="AG20" s="21" t="e">
        <f>ROUNDUP($Z$32*$AJ$104/$M$12,0)</f>
        <v>#N/A</v>
      </c>
      <c r="AH20" s="21">
        <f>IF($C$15&gt;0,ROUNDUP($C$15/5,0)*$AF$20*$X$101,0)</f>
        <v>0</v>
      </c>
      <c r="AI20" s="249" t="s">
        <v>10</v>
      </c>
      <c r="AJ20" s="232" t="s">
        <v>601</v>
      </c>
      <c r="AK20" s="232"/>
      <c r="AL20" s="21" t="s">
        <v>602</v>
      </c>
      <c r="AM20" s="21"/>
      <c r="AN20" s="21" t="s">
        <v>35</v>
      </c>
      <c r="AO20" s="21" t="s">
        <v>517</v>
      </c>
      <c r="AP20" s="21" t="s">
        <v>518</v>
      </c>
      <c r="AQ20" s="21"/>
      <c r="AR20" s="21" t="s">
        <v>788</v>
      </c>
      <c r="AS20" s="230" t="str">
        <f>IF($AA$55=15," "&amp;IF($X$3&gt;0,$W$23&amp;" "&amp;$X$23,"Pas de viandes"),"")</f>
        <v/>
      </c>
      <c r="AT20" s="230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49" t="s">
        <v>505</v>
      </c>
      <c r="BG20" s="232" t="s">
        <v>1014</v>
      </c>
      <c r="BH20" s="232"/>
      <c r="BI20" s="21">
        <f>IF(CTRL!C18=1,IF(ROUND($Z$32,0)/$X$101&gt;CTRL!E18,0,1),0)</f>
        <v>1</v>
      </c>
      <c r="BK20" s="232" t="s">
        <v>595</v>
      </c>
      <c r="BL20" s="232"/>
      <c r="BM20" s="21" t="e">
        <f>IF($X$101&lt;1,$AQ$49,VLOOKUP($AF$58,$CG$4:$CP$27,10,0))</f>
        <v>#N/A</v>
      </c>
      <c r="BO20" s="21" t="s">
        <v>274</v>
      </c>
      <c r="BQ20" s="21">
        <f>IF($BQ$18=1,1,IF($BQ$19=1,1,0))</f>
        <v>0</v>
      </c>
      <c r="BR20" s="21" t="s">
        <v>823</v>
      </c>
      <c r="BY20" s="265" t="s">
        <v>46</v>
      </c>
      <c r="BZ20" s="266">
        <v>0.9</v>
      </c>
      <c r="CB20" s="230" t="s">
        <v>1035</v>
      </c>
      <c r="CC20" s="21">
        <v>1</v>
      </c>
      <c r="CD20" s="21">
        <v>3</v>
      </c>
      <c r="CE20" s="21">
        <v>0</v>
      </c>
      <c r="CG20" s="240" t="s">
        <v>155</v>
      </c>
      <c r="CH20" s="21">
        <v>1.7</v>
      </c>
      <c r="CI20" s="21">
        <v>3</v>
      </c>
      <c r="CJ20" s="21">
        <v>20</v>
      </c>
      <c r="CK20" s="21">
        <v>80</v>
      </c>
      <c r="CL20" s="21">
        <v>80</v>
      </c>
      <c r="CM20" s="21">
        <v>80</v>
      </c>
      <c r="CN20" s="21">
        <f t="shared" si="0"/>
        <v>80</v>
      </c>
      <c r="CO20" s="21">
        <v>125</v>
      </c>
      <c r="CP20" s="21">
        <v>3</v>
      </c>
      <c r="CQ20" s="21">
        <v>20</v>
      </c>
      <c r="CR20" s="21">
        <v>35</v>
      </c>
      <c r="CS20" s="21">
        <v>8.5</v>
      </c>
      <c r="CT20" s="21">
        <v>50</v>
      </c>
      <c r="CU20" s="21">
        <v>11</v>
      </c>
      <c r="CV20" s="21">
        <v>1</v>
      </c>
      <c r="CW20" s="21">
        <v>14</v>
      </c>
      <c r="CX20" s="21">
        <v>1.8</v>
      </c>
      <c r="CY20" s="21">
        <v>8</v>
      </c>
      <c r="CZ20" s="21">
        <v>2.5</v>
      </c>
      <c r="DA20" s="21">
        <v>1.75</v>
      </c>
      <c r="DB20" s="21">
        <v>3.75</v>
      </c>
      <c r="DC20" s="21">
        <v>4</v>
      </c>
      <c r="DD20" s="21">
        <v>3</v>
      </c>
      <c r="DE20" s="21">
        <v>2</v>
      </c>
      <c r="DF20" s="21">
        <v>1</v>
      </c>
      <c r="DH20" s="21">
        <f>HLS!$A19</f>
        <v>0</v>
      </c>
      <c r="DI20" s="21" t="str">
        <f>LGS!$A19</f>
        <v>Haricot vert en conserve - CUIT</v>
      </c>
      <c r="DJ20" s="21">
        <f>FCS!$A19</f>
        <v>0</v>
      </c>
      <c r="DK20" s="21" t="str">
        <f>VDS!$A19</f>
        <v>Cheval, faux-filet - CUIT</v>
      </c>
      <c r="DL20" s="264"/>
      <c r="DM20" s="21">
        <f>'OPT1'!$A19</f>
        <v>0</v>
      </c>
      <c r="DN20" s="21">
        <f>'OPT2'!$A19</f>
        <v>0</v>
      </c>
    </row>
    <row r="21" spans="1:118" ht="25.2" customHeight="1">
      <c r="A21" s="30"/>
      <c r="B21" s="43" t="s">
        <v>484</v>
      </c>
      <c r="C21" s="178"/>
      <c r="D21" s="179"/>
      <c r="E21" s="39" t="str">
        <f>IF($C$20&lt;&gt;"",VLOOKUP($C$20,$CG$4:$CJ$27,2,0),"")</f>
        <v/>
      </c>
      <c r="F21" s="188"/>
      <c r="G21" s="187"/>
      <c r="H21" s="187"/>
      <c r="I21" s="22" t="str">
        <f>IF($BD$17=0,$AS$25,$AS$24)</f>
        <v/>
      </c>
      <c r="J21" s="83"/>
      <c r="K21" s="84"/>
      <c r="L21" s="85"/>
      <c r="M21" s="34"/>
      <c r="N21" s="149"/>
      <c r="O21" s="34"/>
      <c r="P21" s="34"/>
      <c r="Q21" s="34"/>
      <c r="R21" s="16"/>
      <c r="S21" s="16"/>
      <c r="T21" s="16"/>
      <c r="U21" s="7"/>
      <c r="W21" s="21" t="e">
        <f>VLOOKUP($I$7,$AD$24:$AI$28,2,0)</f>
        <v>#N/A</v>
      </c>
      <c r="X21" s="21" t="e">
        <f>VLOOKUP($I$7,$AD$24:$AI$28,4,0)</f>
        <v>#N/A</v>
      </c>
      <c r="Y21" s="232"/>
      <c r="Z21" s="21"/>
      <c r="AA21" s="21"/>
      <c r="AB21" s="21"/>
      <c r="AD21" s="21">
        <f>IF($M$12&gt;0,ROUNDUP($Z$32*$AJ$104/$M$12,0),0)</f>
        <v>0</v>
      </c>
      <c r="AE21" s="257" t="s">
        <v>885</v>
      </c>
      <c r="AF21" s="257"/>
      <c r="AG21" s="257" t="e">
        <f>ROUND($BK$69,0)</f>
        <v>#N/A</v>
      </c>
      <c r="AH21" s="257"/>
      <c r="AI21" s="21" t="str">
        <f>CTRL!B14</f>
        <v>actif</v>
      </c>
      <c r="AJ21" s="21" t="e">
        <f>ROUND($AJ$39*1000/$Y$32,2)</f>
        <v>#N/A</v>
      </c>
      <c r="AK21" s="21" t="e">
        <f>ROUND($AK$39*1000/$Y$32,2)</f>
        <v>#N/A</v>
      </c>
      <c r="AL21" s="21" t="e">
        <f>ROUND($AQ$39*1000/$Y$32,2)</f>
        <v>#N/A</v>
      </c>
      <c r="AM21" s="21"/>
      <c r="AN21" s="21" t="str">
        <f>IF($W$61=1,$G$11,"Pas d'œuf")</f>
        <v>Pas d'œuf</v>
      </c>
      <c r="AO21" s="21">
        <f>IF($W$61=1,VLOOKUP($G$11,'OPT1'!$A$2:$AC$100,15,0),0)</f>
        <v>0</v>
      </c>
      <c r="AP21" s="21">
        <f>IF($W$61=1,VLOOKUP($G$11,'OPT1'!$A$2:$AC$100,16,0),0)</f>
        <v>0</v>
      </c>
      <c r="AQ21" s="21"/>
      <c r="AR21" s="21" t="s">
        <v>789</v>
      </c>
      <c r="AS21" s="230" t="str">
        <f>IF($AA$55=15," "&amp;IF($X$3&gt;0,$W$29&amp;" "&amp;$X$29,"Pas de viandes"),"")</f>
        <v/>
      </c>
      <c r="AT21" s="230"/>
      <c r="AU21" s="21"/>
      <c r="AV21" s="21"/>
      <c r="BF21" s="21" t="str">
        <f>CTRL!B18</f>
        <v>actif</v>
      </c>
      <c r="BG21" s="232" t="str">
        <f>IF(CTRL!C18=1,"Threshold : "&amp;CTRL!E18&amp;" kcal","Threshold : NONE")</f>
        <v>Threshold : 500 kcal</v>
      </c>
      <c r="BH21" s="232"/>
      <c r="BI21" s="253" t="s">
        <v>1013</v>
      </c>
      <c r="BY21" s="265" t="s">
        <v>47</v>
      </c>
      <c r="BZ21" s="266">
        <v>1</v>
      </c>
      <c r="CB21" s="230" t="s">
        <v>1036</v>
      </c>
      <c r="CC21" s="21">
        <v>1</v>
      </c>
      <c r="CD21" s="21">
        <v>-3</v>
      </c>
      <c r="CE21" s="21">
        <v>0</v>
      </c>
      <c r="CG21" s="240" t="s">
        <v>1104</v>
      </c>
      <c r="CH21" s="21">
        <v>1.4</v>
      </c>
      <c r="CI21" s="21">
        <v>3</v>
      </c>
      <c r="CJ21" s="21">
        <v>18</v>
      </c>
      <c r="CK21" s="21">
        <v>80</v>
      </c>
      <c r="CL21" s="21">
        <v>80</v>
      </c>
      <c r="CM21" s="21">
        <v>80</v>
      </c>
      <c r="CN21" s="21">
        <f t="shared" si="0"/>
        <v>80</v>
      </c>
      <c r="CO21" s="21">
        <v>125</v>
      </c>
      <c r="CP21" s="21">
        <v>2.7</v>
      </c>
      <c r="CQ21" s="21">
        <v>20</v>
      </c>
      <c r="CR21" s="21">
        <v>35</v>
      </c>
      <c r="CS21" s="21">
        <v>8.5</v>
      </c>
      <c r="CT21" s="21">
        <v>50</v>
      </c>
      <c r="CU21" s="21">
        <v>11</v>
      </c>
      <c r="CV21" s="21">
        <v>1</v>
      </c>
      <c r="CW21" s="21">
        <v>14</v>
      </c>
      <c r="CX21" s="21">
        <v>1.8</v>
      </c>
      <c r="CY21" s="21">
        <v>8</v>
      </c>
      <c r="CZ21" s="21">
        <v>2.2999999999999998</v>
      </c>
      <c r="DA21" s="21">
        <v>1.5</v>
      </c>
      <c r="DB21" s="21">
        <v>3.75</v>
      </c>
      <c r="DC21" s="21">
        <v>4</v>
      </c>
      <c r="DD21" s="21">
        <v>3</v>
      </c>
      <c r="DE21" s="21">
        <v>2</v>
      </c>
      <c r="DF21" s="21">
        <v>0.5</v>
      </c>
      <c r="DH21" s="21">
        <f>HLS!$A20</f>
        <v>0</v>
      </c>
      <c r="DI21" s="21" t="str">
        <f>LGS!$A20</f>
        <v xml:space="preserve">Mâche, salade - CRUE </v>
      </c>
      <c r="DJ21" s="21">
        <f>FCS!$A20</f>
        <v>0</v>
      </c>
      <c r="DK21" s="21" t="str">
        <f>VDS!$A20</f>
        <v>Dinde, escalope - CRUE</v>
      </c>
      <c r="DL21" s="264"/>
      <c r="DM21" s="21">
        <f>'OPT1'!$A20</f>
        <v>0</v>
      </c>
      <c r="DN21" s="21">
        <f>'OPT2'!$A20</f>
        <v>0</v>
      </c>
    </row>
    <row r="22" spans="1:118" ht="25.2" customHeight="1">
      <c r="A22" s="30"/>
      <c r="B22" s="43" t="s">
        <v>486</v>
      </c>
      <c r="C22" s="178"/>
      <c r="D22" s="179"/>
      <c r="E22" s="39" t="str">
        <f>IF($C$22&lt;&gt;"",VLOOKUP($C$22,$CG$40:$CJ$42,2,0),"")</f>
        <v/>
      </c>
      <c r="F22" s="188"/>
      <c r="G22" s="187"/>
      <c r="H22" s="187"/>
      <c r="I22" s="22" t="str">
        <f>IF($BD$17=0,$AS$26,$AS$25)</f>
        <v/>
      </c>
      <c r="J22" s="80"/>
      <c r="K22" s="86"/>
      <c r="L22" s="85"/>
      <c r="M22" s="34"/>
      <c r="N22" s="149"/>
      <c r="O22" s="34"/>
      <c r="P22" s="34"/>
      <c r="Q22" s="34"/>
      <c r="R22" s="16"/>
      <c r="S22" s="16"/>
      <c r="T22" s="16"/>
      <c r="U22" s="7"/>
      <c r="W22" s="243" t="s">
        <v>141</v>
      </c>
      <c r="X22" s="243"/>
      <c r="Z22" s="21"/>
      <c r="AA22" s="21"/>
      <c r="AB22" s="21"/>
      <c r="AD22" s="243" t="s">
        <v>178</v>
      </c>
      <c r="AE22" s="232"/>
      <c r="AF22" s="232"/>
      <c r="AG22" s="232"/>
      <c r="AH22" s="232"/>
      <c r="AI22" s="232"/>
      <c r="AJ22" s="232"/>
      <c r="AK22" s="232"/>
      <c r="AL22" s="232"/>
      <c r="AM22" s="21"/>
      <c r="AN22" s="269" t="str">
        <f>IF($W$57=1,$G$12,"Pas de yaourt")</f>
        <v>Pas de yaourt</v>
      </c>
      <c r="AO22" s="21">
        <f>IF($W$57=1,VLOOKUP($G$12,'OPT2'!$A$2:$AC$100,15,0),0)</f>
        <v>0</v>
      </c>
      <c r="AP22" s="21">
        <f>IF($W$57=1,VLOOKUP($G$12,'OPT2'!$A$2:$AC$100,16,0),0)</f>
        <v>0</v>
      </c>
      <c r="AQ22" s="21"/>
      <c r="AR22" s="21" t="s">
        <v>0</v>
      </c>
      <c r="AS22" s="230" t="str">
        <f>IF($AA$55=15," "&amp;IF($Y$3&gt;0,$W$24&amp;" "&amp;$X$24,"Pas de légumes"),"")</f>
        <v/>
      </c>
      <c r="AT22" s="230"/>
      <c r="AU22" s="21"/>
      <c r="AV22" s="21"/>
      <c r="AW22" s="243" t="s">
        <v>240</v>
      </c>
      <c r="AX22" s="232"/>
      <c r="AY22" s="232"/>
      <c r="AZ22" s="232"/>
      <c r="BA22" s="232"/>
      <c r="BB22" s="232"/>
      <c r="BC22" s="232"/>
      <c r="BD22" s="232"/>
      <c r="BE22" s="232"/>
      <c r="BF22" s="243" t="s">
        <v>938</v>
      </c>
      <c r="BG22" s="232"/>
      <c r="BH22" s="232"/>
      <c r="BI22" s="232" t="s">
        <v>28</v>
      </c>
      <c r="BJ22" s="232"/>
      <c r="BK22" s="274" t="s">
        <v>515</v>
      </c>
      <c r="BL22" s="274"/>
      <c r="BM22" s="244" t="e">
        <f>$Y$32*$BM$20/1000</f>
        <v>#N/A</v>
      </c>
      <c r="BN22" s="244"/>
      <c r="BO22" s="232" t="s">
        <v>241</v>
      </c>
      <c r="BP22" s="238"/>
      <c r="BQ22" s="238"/>
      <c r="BR22" s="21" t="s">
        <v>250</v>
      </c>
      <c r="BS22" s="21" t="s">
        <v>821</v>
      </c>
      <c r="BU22" s="232" t="s">
        <v>940</v>
      </c>
      <c r="BV22" s="254"/>
      <c r="BY22" s="265" t="s">
        <v>627</v>
      </c>
      <c r="BZ22" s="266">
        <v>1</v>
      </c>
      <c r="CB22" s="228" t="s">
        <v>1032</v>
      </c>
      <c r="CC22" s="275">
        <v>1</v>
      </c>
      <c r="CD22" s="275">
        <v>-4</v>
      </c>
      <c r="CE22" s="275">
        <v>0</v>
      </c>
      <c r="CG22" s="240" t="s">
        <v>1105</v>
      </c>
      <c r="CH22" s="21">
        <v>1.2</v>
      </c>
      <c r="CI22" s="21">
        <v>3</v>
      </c>
      <c r="CJ22" s="21">
        <v>15</v>
      </c>
      <c r="CK22" s="21">
        <v>75</v>
      </c>
      <c r="CL22" s="21">
        <v>75</v>
      </c>
      <c r="CM22" s="21">
        <v>75</v>
      </c>
      <c r="CN22" s="21">
        <f t="shared" si="0"/>
        <v>75</v>
      </c>
      <c r="CO22" s="21">
        <v>130</v>
      </c>
      <c r="CP22" s="21">
        <v>2.4</v>
      </c>
      <c r="CQ22" s="21">
        <v>20</v>
      </c>
      <c r="CR22" s="21">
        <v>35</v>
      </c>
      <c r="CS22" s="21">
        <v>8.5</v>
      </c>
      <c r="CT22" s="21">
        <v>50</v>
      </c>
      <c r="CU22" s="21">
        <v>11</v>
      </c>
      <c r="CV22" s="21">
        <v>1</v>
      </c>
      <c r="CW22" s="21">
        <v>14</v>
      </c>
      <c r="CX22" s="21">
        <v>1.8</v>
      </c>
      <c r="CY22" s="21">
        <v>8</v>
      </c>
      <c r="CZ22" s="21">
        <v>2</v>
      </c>
      <c r="DA22" s="21">
        <v>1.25</v>
      </c>
      <c r="DB22" s="21">
        <v>4</v>
      </c>
      <c r="DC22" s="21">
        <v>4</v>
      </c>
      <c r="DD22" s="21">
        <v>3</v>
      </c>
      <c r="DE22" s="21">
        <v>2</v>
      </c>
      <c r="DF22" s="21">
        <v>0.5</v>
      </c>
      <c r="DH22" s="21">
        <f>HLS!$A21</f>
        <v>0</v>
      </c>
      <c r="DI22" s="21" t="str">
        <f>LGS!$A21</f>
        <v>Petits pois, carottes - CUITS</v>
      </c>
      <c r="DJ22" s="21">
        <f>FCS!$A21</f>
        <v>0</v>
      </c>
      <c r="DK22" s="21" t="str">
        <f>VDS!$A21</f>
        <v>Dinde, escalope - CUITE</v>
      </c>
      <c r="DL22" s="264"/>
      <c r="DM22" s="21">
        <f>'OPT1'!$A21</f>
        <v>0</v>
      </c>
      <c r="DN22" s="21">
        <f>'OPT2'!$A21</f>
        <v>0</v>
      </c>
    </row>
    <row r="23" spans="1:118" ht="25.2" customHeight="1">
      <c r="A23" s="30"/>
      <c r="B23" s="43" t="s">
        <v>487</v>
      </c>
      <c r="C23" s="178"/>
      <c r="D23" s="179"/>
      <c r="E23" s="39" t="str">
        <f>IF($AJ$11=1,1,IF($C$23&lt;&gt;"",VLOOKUP($C$23,$CB$40:$CE$44,2,0),""))</f>
        <v/>
      </c>
      <c r="F23" s="189"/>
      <c r="G23" s="190"/>
      <c r="H23" s="190"/>
      <c r="I23" s="23" t="str">
        <f>IF($BD$17=0,$AS$27,$AS$26)</f>
        <v/>
      </c>
      <c r="J23" s="24"/>
      <c r="K23" s="25"/>
      <c r="L23" s="87"/>
      <c r="M23" s="34"/>
      <c r="N23" s="149"/>
      <c r="O23" s="34"/>
      <c r="P23" s="34"/>
      <c r="Q23" s="34"/>
      <c r="R23" s="16"/>
      <c r="S23" s="16"/>
      <c r="T23" s="16"/>
      <c r="U23" s="7"/>
      <c r="V23" s="21"/>
      <c r="W23" s="21" t="e">
        <f>$AZ$16</f>
        <v>#N/A</v>
      </c>
      <c r="X23" s="276" t="e">
        <f>IF($W23&gt;1,"grammes ","gramme ")&amp;VLOOKUP($I$11,VDS!$A$2:$AC$108,18,0)</f>
        <v>#N/A</v>
      </c>
      <c r="Z23" s="232" t="e">
        <f>($M$11*$AZ$18/100)+($W$24*$M$12/100)+($W$25*$M$13/100)+($M$14*$W$26/100)+$Z$34</f>
        <v>#N/A</v>
      </c>
      <c r="AA23" s="232"/>
      <c r="AB23" s="21"/>
      <c r="AD23" s="21" t="s">
        <v>2</v>
      </c>
      <c r="AE23" s="21" t="s">
        <v>181</v>
      </c>
      <c r="AF23" s="21" t="s">
        <v>183</v>
      </c>
      <c r="AG23" s="21" t="s">
        <v>182</v>
      </c>
      <c r="AH23" s="21" t="s">
        <v>233</v>
      </c>
      <c r="AI23" s="21" t="s">
        <v>10</v>
      </c>
      <c r="AJ23" s="21" t="s">
        <v>224</v>
      </c>
      <c r="AK23" s="21" t="s">
        <v>225</v>
      </c>
      <c r="AL23" s="21" t="s">
        <v>257</v>
      </c>
      <c r="AM23" s="21"/>
      <c r="AN23" s="269" t="str">
        <f>IF($I$8="","Pas de CMV",$I$8)</f>
        <v>Pas de CMV</v>
      </c>
      <c r="AO23" s="21"/>
      <c r="AP23" s="21"/>
      <c r="AQ23" s="21"/>
      <c r="AR23" s="21" t="s">
        <v>400</v>
      </c>
      <c r="AS23" s="230" t="str">
        <f>IF($AA$55=15," "&amp;IF($Z$3&gt;0,IF($W$25&gt;0,$W$25&amp;" "&amp;$X$25,"Pas de féculents"),"Pas de féculents"),"")</f>
        <v/>
      </c>
      <c r="AT23" s="230"/>
      <c r="AU23" s="21"/>
      <c r="AV23" s="21"/>
      <c r="AW23" s="21" t="str">
        <f>IF($I$8&lt;&gt;"",VLOOKUP($I$8,CMV!$A$2:$Z$100,1,0),"")</f>
        <v/>
      </c>
      <c r="AX23" s="21" t="str">
        <f>IF($I$8&lt;&gt;"",VLOOKUP($I$8,CMV!$A$2:$Z$100,2,0),"")</f>
        <v/>
      </c>
      <c r="AY23" s="21">
        <f>IF($I$8&lt;&gt;"",VLOOKUP($I$8,CMV!$A$2:$Z$100,3,0),0)</f>
        <v>0</v>
      </c>
      <c r="AZ23" s="21">
        <f>IF($I$8&lt;&gt;"",VLOOKUP($I$8,CMV!$A$2:$Z$100,4,0),0)</f>
        <v>0</v>
      </c>
      <c r="BA23" s="21">
        <f>IF($I$8&lt;&gt;"",VLOOKUP($I$8,CMV!$A$2:$Z$100,5,0),0)</f>
        <v>0</v>
      </c>
      <c r="BB23" s="21">
        <f>IF($I$8&lt;&gt;"",VLOOKUP($I$8,CMV!$A$2:$Z$100,6,0),0)</f>
        <v>0</v>
      </c>
      <c r="BC23" s="21">
        <f>IF($I$8&lt;&gt;"",VLOOKUP($I$8,CMV!$A$2:$Z$100,7,0),0)</f>
        <v>0</v>
      </c>
      <c r="BD23" s="21">
        <f>IF($I$8&lt;&gt;"",VLOOKUP($I$8,CMV!$A$2:$Z$100,8,0),0)</f>
        <v>0</v>
      </c>
      <c r="BE23" s="21">
        <f>IF($I$8&lt;&gt;"",VLOOKUP($I$8,CMV!$A$2:$Z$100,9,0),0)</f>
        <v>0</v>
      </c>
      <c r="BF23" s="21">
        <f>IF($BI$20=0,$BG$23,$BH$23)</f>
        <v>0</v>
      </c>
      <c r="BG23" s="21">
        <f>IF($I$8&lt;&gt;"",VLOOKUP($I$8,CMV!$A$2:$Z$100,10,0),0)</f>
        <v>0</v>
      </c>
      <c r="BH23" s="21">
        <f>IF($I$8&lt;&gt;"",VLOOKUP($I$8,CMV!$A$2:$Z$100,11,0),0)</f>
        <v>0</v>
      </c>
      <c r="BI23" s="21" t="e">
        <f>ROUNDUP(($AM$39-$AL$39)/(($BD23/100*$BF23/1000)-($BE23/100*$BF23/1000)),0)</f>
        <v>#N/A</v>
      </c>
      <c r="BJ23" s="21" t="e">
        <f>ABS(BI23)</f>
        <v>#N/A</v>
      </c>
      <c r="BK23" s="21" t="e">
        <f>(BJ23*BF23/100)*BD23/1000</f>
        <v>#N/A</v>
      </c>
      <c r="BL23" s="277" t="e">
        <f>BK23+$AL$39</f>
        <v>#N/A</v>
      </c>
      <c r="BM23" s="277" t="e">
        <f>IF($BM$22-BL23&gt;0,$BM$22-BL23,0)</f>
        <v>#N/A</v>
      </c>
      <c r="BN23" s="21" t="e">
        <f>IF($BL$27=0,1,$BL$27)*$BQ$20</f>
        <v>#N/A</v>
      </c>
      <c r="BO23" s="21" t="str">
        <f>IF($I$8&lt;&gt;"",IF((BQ23/BS23)&gt;1,VLOOKUP($I$8,CMV!$A$2:$Z$100,16,0),VLOOKUP($I$8,CMV!$A$2:$Z$100,15,0)),"")</f>
        <v/>
      </c>
      <c r="BP23" s="21" t="e">
        <f>IF($BV$27=1,$BV$23,IF($BV$27=2,$BV$24,IF($BV$27=3,$BV$25,$BV$26)))</f>
        <v>#N/A</v>
      </c>
      <c r="BQ23" s="21" t="e">
        <f>BF23*BN23</f>
        <v>#N/A</v>
      </c>
      <c r="BR23" s="21">
        <f>IF($I$8&lt;&gt;"",VLOOKUP($I$8,CMV!$A$2:$Z$100,13,0),0)</f>
        <v>0</v>
      </c>
      <c r="BS23" s="21">
        <f>IF($I$8&lt;&gt;"",VLOOKUP($I$8,CMV!$A$2:$Z$100,12,0),0)</f>
        <v>0</v>
      </c>
      <c r="BU23" s="275">
        <v>1</v>
      </c>
      <c r="BV23" s="21" t="e">
        <f>(BQ23/BS23)&amp;" "&amp;BO23</f>
        <v>#N/A</v>
      </c>
      <c r="BY23" s="265" t="s">
        <v>48</v>
      </c>
      <c r="BZ23" s="266">
        <v>1</v>
      </c>
      <c r="CG23" s="240" t="s">
        <v>156</v>
      </c>
      <c r="CH23" s="21">
        <v>1.1000000000000001</v>
      </c>
      <c r="CI23" s="21">
        <v>3</v>
      </c>
      <c r="CJ23" s="21">
        <v>15</v>
      </c>
      <c r="CK23" s="21">
        <v>75</v>
      </c>
      <c r="CL23" s="21">
        <v>75</v>
      </c>
      <c r="CM23" s="21">
        <v>75</v>
      </c>
      <c r="CN23" s="21">
        <f t="shared" si="0"/>
        <v>75</v>
      </c>
      <c r="CO23" s="21">
        <v>140</v>
      </c>
      <c r="CP23" s="21">
        <v>2.2000000000000002</v>
      </c>
      <c r="CQ23" s="21">
        <v>20</v>
      </c>
      <c r="CR23" s="21">
        <v>35</v>
      </c>
      <c r="CS23" s="21">
        <v>8.5</v>
      </c>
      <c r="CT23" s="21">
        <v>50</v>
      </c>
      <c r="CU23" s="21">
        <v>11</v>
      </c>
      <c r="CV23" s="21">
        <v>1</v>
      </c>
      <c r="CW23" s="21">
        <v>14</v>
      </c>
      <c r="CX23" s="21">
        <v>1.8</v>
      </c>
      <c r="CY23" s="21">
        <v>8</v>
      </c>
      <c r="CZ23" s="21">
        <v>1.25</v>
      </c>
      <c r="DA23" s="21">
        <v>1.1000000000000001</v>
      </c>
      <c r="DB23" s="21">
        <v>4</v>
      </c>
      <c r="DC23" s="21">
        <v>4</v>
      </c>
      <c r="DD23" s="21">
        <v>3</v>
      </c>
      <c r="DE23" s="21">
        <v>2</v>
      </c>
      <c r="DF23" s="21">
        <v>0</v>
      </c>
      <c r="DH23" s="21">
        <f>HLS!$A22</f>
        <v>0</v>
      </c>
      <c r="DI23" s="21" t="str">
        <f>LGS!$A22</f>
        <v>Potiron - CUIT</v>
      </c>
      <c r="DJ23" s="21">
        <f>FCS!$A22</f>
        <v>0</v>
      </c>
      <c r="DK23" s="21" t="str">
        <f>VDS!$A22</f>
        <v>Dinde, viande de cuisse - CRUE</v>
      </c>
      <c r="DL23" s="264"/>
      <c r="DM23" s="21">
        <f>'OPT1'!$A22</f>
        <v>0</v>
      </c>
      <c r="DN23" s="21">
        <f>'OPT2'!$A22</f>
        <v>0</v>
      </c>
    </row>
    <row r="24" spans="1:118" ht="25.2" customHeight="1">
      <c r="A24" s="30"/>
      <c r="B24" s="43" t="s">
        <v>488</v>
      </c>
      <c r="C24" s="178"/>
      <c r="D24" s="179"/>
      <c r="E24" s="39" t="str">
        <f>IF($C$24&lt;&gt;"",VLOOKUP($C$24,$CB$28:$CE$32,2,0),"")</f>
        <v/>
      </c>
      <c r="F24" s="88"/>
      <c r="G24" s="89" t="str">
        <f>IF($AA$55=15,IF($AQ$54&gt;0,$AM$4,IF($AS$54&gt;0,$AM$8,"")),$AM$15&amp;$AM$14&amp;$AM$16)</f>
        <v/>
      </c>
      <c r="H24" s="90"/>
      <c r="I24" s="90"/>
      <c r="J24" s="90"/>
      <c r="K24" s="90"/>
      <c r="L24" s="91"/>
      <c r="M24" s="34"/>
      <c r="N24" s="149"/>
      <c r="O24" s="34"/>
      <c r="P24" s="34"/>
      <c r="Q24" s="34"/>
      <c r="R24" s="16"/>
      <c r="S24" s="18"/>
      <c r="T24" s="16"/>
      <c r="U24" s="7"/>
      <c r="W24" s="21" t="e">
        <f>IF($I$7=$AD$28,VLOOKUP($I$7,$AD$24:$AI$28,3,0),VLOOKUP($I$7,$AD$24:$AI$28,3,0))</f>
        <v>#N/A</v>
      </c>
      <c r="X24" s="276" t="e">
        <f>IF($W24&gt;1,"grammes ","gramme ")&amp;VLOOKUP($I$12,LGS!$A$2:$AC$100,18,0)</f>
        <v>#N/A</v>
      </c>
      <c r="Z24" s="243" t="s">
        <v>174</v>
      </c>
      <c r="AA24" s="243"/>
      <c r="AB24" s="21"/>
      <c r="AD24" s="21" t="s">
        <v>323</v>
      </c>
      <c r="AE24" s="21" t="e">
        <f>ROUNDUP($Y$36/$AE$35*100,0)</f>
        <v>#N/A</v>
      </c>
      <c r="AF24" s="21" t="e">
        <f>IF($I$7=$AD$28,"n/a",$AG$21)</f>
        <v>#N/A</v>
      </c>
      <c r="AG24" s="21">
        <f>IF($M$13&gt;0,ROUNDDOWN($AJ$49/$M$13*100,0),0)</f>
        <v>0</v>
      </c>
      <c r="AH24" s="21">
        <f>IF($I$7=$AD$28,"n/a",IF($BC$4=0,IF($M$14&gt;0,$AP$105,0),$BC$6))</f>
        <v>0</v>
      </c>
      <c r="AI24" s="232" t="e">
        <f>IF(CTRL!C14&gt;0,$BQ$23,0)</f>
        <v>#N/A</v>
      </c>
      <c r="AJ24" s="232" t="e">
        <f>ROUND($AJ$39*1000/$Z$23,2)</f>
        <v>#N/A</v>
      </c>
      <c r="AK24" s="232" t="e">
        <f>ROUND($AK$39*1000/$Z$23,2)</f>
        <v>#N/A</v>
      </c>
      <c r="AL24" s="234">
        <f>$BQ$14</f>
        <v>0</v>
      </c>
      <c r="AM24" s="230"/>
      <c r="AN24" s="269" t="str">
        <f>IF($I$11="","PAS DE VIANDES",$I$11)</f>
        <v>PAS DE VIANDES</v>
      </c>
      <c r="AO24" s="21">
        <f>IF($I$11="",0,VLOOKUP($I$11,VDS!$A$2:$AJ$108,15,0))</f>
        <v>0</v>
      </c>
      <c r="AP24" s="21">
        <f>IF($I$11="",0,VLOOKUP($I$11,VDS!$A$2:$AJ$108,16,0))</f>
        <v>0</v>
      </c>
      <c r="AQ24" s="21"/>
      <c r="AR24" s="21" t="s">
        <v>233</v>
      </c>
      <c r="AS24" s="230" t="str">
        <f>IF($AA$55=15," "&amp;IF($W$26&gt;0,$BF$6,"Pas d'ajout d'huile dans ce menu"),"")</f>
        <v/>
      </c>
      <c r="AT24" s="230"/>
      <c r="AU24" s="21"/>
      <c r="AV24" s="21"/>
      <c r="AW24" s="21" t="s">
        <v>10</v>
      </c>
      <c r="AX24" s="21" t="s">
        <v>23</v>
      </c>
      <c r="AY24" s="21" t="s">
        <v>15</v>
      </c>
      <c r="AZ24" s="21" t="s">
        <v>16</v>
      </c>
      <c r="BA24" s="21" t="s">
        <v>17</v>
      </c>
      <c r="BB24" s="21" t="s">
        <v>18</v>
      </c>
      <c r="BC24" s="21" t="s">
        <v>19</v>
      </c>
      <c r="BD24" s="21" t="s">
        <v>20</v>
      </c>
      <c r="BE24" s="21" t="s">
        <v>22</v>
      </c>
      <c r="BF24" s="21" t="s">
        <v>939</v>
      </c>
      <c r="BG24" s="278" t="str">
        <f>"1/2"</f>
        <v>1/2</v>
      </c>
      <c r="BH24" s="278" t="str">
        <f>"1/4"</f>
        <v>1/4</v>
      </c>
      <c r="BI24" s="21" t="s">
        <v>26</v>
      </c>
      <c r="BJ24" s="21" t="s">
        <v>202</v>
      </c>
      <c r="BK24" s="21" t="s">
        <v>31</v>
      </c>
      <c r="BL24" s="21" t="s">
        <v>30</v>
      </c>
      <c r="BM24" s="21" t="s">
        <v>29</v>
      </c>
      <c r="BN24" s="21" t="s">
        <v>820</v>
      </c>
      <c r="BO24" s="21" t="s">
        <v>242</v>
      </c>
      <c r="BP24" s="21" t="s">
        <v>243</v>
      </c>
      <c r="BQ24" s="21" t="s">
        <v>244</v>
      </c>
      <c r="BR24" s="21" t="s">
        <v>250</v>
      </c>
      <c r="BS24" s="21" t="s">
        <v>244</v>
      </c>
      <c r="BU24" s="275">
        <v>2</v>
      </c>
      <c r="BV24" s="21" t="e">
        <f>(BQ23/BS23)&amp;" "&amp;BO23&amp; " ("&amp;BQ23&amp;IF(BQ23&gt;1," grammes)"," gramme)")</f>
        <v>#N/A</v>
      </c>
      <c r="BY24" s="265" t="s">
        <v>49</v>
      </c>
      <c r="BZ24" s="266">
        <v>1</v>
      </c>
      <c r="CG24" s="240" t="s">
        <v>117</v>
      </c>
      <c r="CH24" s="21">
        <v>1.1000000000000001</v>
      </c>
      <c r="CI24" s="21">
        <v>4</v>
      </c>
      <c r="CJ24" s="21">
        <v>13</v>
      </c>
      <c r="CK24" s="21">
        <v>65</v>
      </c>
      <c r="CL24" s="21">
        <v>65</v>
      </c>
      <c r="CM24" s="21">
        <v>65</v>
      </c>
      <c r="CN24" s="21">
        <f t="shared" si="0"/>
        <v>65</v>
      </c>
      <c r="CO24" s="21">
        <v>1</v>
      </c>
      <c r="CP24" s="21">
        <v>2</v>
      </c>
      <c r="CQ24" s="21">
        <v>25</v>
      </c>
      <c r="CR24" s="21">
        <v>35</v>
      </c>
      <c r="CS24" s="21">
        <v>8.5</v>
      </c>
      <c r="CT24" s="21">
        <v>50</v>
      </c>
      <c r="CU24" s="21">
        <v>11</v>
      </c>
      <c r="CV24" s="21">
        <v>1</v>
      </c>
      <c r="CW24" s="21">
        <v>14</v>
      </c>
      <c r="CX24" s="21">
        <v>1.6</v>
      </c>
      <c r="CY24" s="21">
        <v>8</v>
      </c>
      <c r="CZ24" s="21">
        <v>1.25</v>
      </c>
      <c r="DA24" s="21">
        <v>1</v>
      </c>
      <c r="DB24" s="21">
        <v>6.25</v>
      </c>
      <c r="DC24" s="21">
        <v>4</v>
      </c>
      <c r="DD24" s="21">
        <v>3</v>
      </c>
      <c r="DE24" s="21">
        <v>2</v>
      </c>
      <c r="DF24" s="21">
        <v>0</v>
      </c>
      <c r="DH24" s="21">
        <f>HLS!$A23</f>
        <v>0</v>
      </c>
      <c r="DI24" s="21" t="str">
        <f>LGS!$A23</f>
        <v>Potimarron - CUIT</v>
      </c>
      <c r="DJ24" s="21">
        <f>FCS!$A23</f>
        <v>0</v>
      </c>
      <c r="DK24" s="21" t="str">
        <f>VDS!$A23</f>
        <v>Dinde, viande de cuisse - CUITE</v>
      </c>
      <c r="DL24" s="264"/>
      <c r="DM24" s="21">
        <f>'OPT1'!$A23</f>
        <v>0</v>
      </c>
      <c r="DN24" s="21">
        <f>'OPT2'!$A23</f>
        <v>0</v>
      </c>
    </row>
    <row r="25" spans="1:118" ht="25.2" customHeight="1">
      <c r="A25" s="30"/>
      <c r="B25" s="41" t="s">
        <v>1033</v>
      </c>
      <c r="C25" s="178"/>
      <c r="D25" s="179"/>
      <c r="E25" s="39" t="str">
        <f>IF($C$25&lt;&gt;"",VLOOKUP($C$25,$CB$19:$CE$22,2,0),"")</f>
        <v/>
      </c>
      <c r="F25" s="92" t="s">
        <v>4</v>
      </c>
      <c r="G25" s="11" t="s">
        <v>5</v>
      </c>
      <c r="H25" s="11" t="s">
        <v>6</v>
      </c>
      <c r="I25" s="11" t="s">
        <v>7</v>
      </c>
      <c r="J25" s="11" t="s">
        <v>32</v>
      </c>
      <c r="K25" s="11" t="s">
        <v>8</v>
      </c>
      <c r="L25" s="93" t="s">
        <v>9</v>
      </c>
      <c r="M25" s="32"/>
      <c r="N25" s="149"/>
      <c r="O25" s="32"/>
      <c r="P25" s="32"/>
      <c r="Q25" s="32"/>
      <c r="R25" s="16"/>
      <c r="S25" s="18"/>
      <c r="T25" s="16"/>
      <c r="U25" s="4"/>
      <c r="V25" s="253" t="s">
        <v>884</v>
      </c>
      <c r="W25" s="253" t="e">
        <f>$BK$68</f>
        <v>#N/A</v>
      </c>
      <c r="X25" s="276" t="e">
        <f>IF($W25&gt;1,"grammes ","gramme ")&amp;VLOOKUP($I$13,FCS!$A$2:$AC$100,18,0)</f>
        <v>#N/A</v>
      </c>
      <c r="Z25" s="21"/>
      <c r="AA25" s="21"/>
      <c r="AB25" s="21"/>
      <c r="AD25" s="21" t="s">
        <v>1076</v>
      </c>
      <c r="AE25" s="21" t="e">
        <f>ROUNDUP((($AE$27-$AE$24)/CTRL!H32)+$AE$24,0)</f>
        <v>#N/A</v>
      </c>
      <c r="AF25" s="21" t="e">
        <f>IF($I$7=$AD$28,"n/a",$AG$21)</f>
        <v>#N/A</v>
      </c>
      <c r="AG25" s="21">
        <f>IF($M$13&gt;0,ROUNDDOWN($AJ$50/$M$13*100,0),0)</f>
        <v>0</v>
      </c>
      <c r="AH25" s="21">
        <f>IF($I$7=$AD$28,"n/a",IF($BC$4=0,IF($M$14&gt;0,$AP$105,0),$BC$6))</f>
        <v>0</v>
      </c>
      <c r="AI25" s="232"/>
      <c r="AJ25" s="232"/>
      <c r="AK25" s="232"/>
      <c r="AL25" s="234">
        <f>$BQ$14</f>
        <v>0</v>
      </c>
      <c r="AM25" s="230"/>
      <c r="AN25" s="269" t="str">
        <f>IF($I$12="","PAS DE LEGUMES",$I$12)</f>
        <v>PAS DE LEGUMES</v>
      </c>
      <c r="AO25" s="21">
        <f>IF($I$12="",0,VLOOKUP($I$12,LGS!$A$2:$AC$100,15,0))</f>
        <v>0</v>
      </c>
      <c r="AP25" s="21">
        <f>IF($I$12="",0,VLOOKUP($I$12,LGS!$A$2:$AC$100,16,0))</f>
        <v>0</v>
      </c>
      <c r="AQ25" s="21"/>
      <c r="AR25" s="21" t="s">
        <v>10</v>
      </c>
      <c r="AS25" s="230" t="str">
        <f>IF($AA$55=15," "&amp;IF($W$27&gt;0,$BP$23&amp;" de "&amp;$X$27,"Pas d'ajout de CMV dans ce menu"),"")</f>
        <v/>
      </c>
      <c r="AT25" s="230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77"/>
      <c r="BM25" s="277"/>
      <c r="BN25" s="277"/>
      <c r="BO25" s="21"/>
      <c r="BP25" s="21"/>
      <c r="BQ25" s="21"/>
      <c r="BR25" s="21"/>
      <c r="BS25" s="21"/>
      <c r="BT25" s="240"/>
      <c r="BU25" s="21">
        <v>3</v>
      </c>
      <c r="BV25" s="21" t="e">
        <f>$BO$23&amp;" "&amp;BQ23&amp;IF(BQ23&gt;1," grammes"," gramme")</f>
        <v>#N/A</v>
      </c>
      <c r="BY25" s="265" t="s">
        <v>628</v>
      </c>
      <c r="BZ25" s="266">
        <v>1</v>
      </c>
      <c r="CG25" s="240" t="s">
        <v>118</v>
      </c>
      <c r="CH25" s="21">
        <v>1.3</v>
      </c>
      <c r="CI25" s="21">
        <v>3</v>
      </c>
      <c r="CJ25" s="21">
        <v>15</v>
      </c>
      <c r="CK25" s="21">
        <v>65</v>
      </c>
      <c r="CL25" s="21">
        <v>65</v>
      </c>
      <c r="CM25" s="21">
        <v>65</v>
      </c>
      <c r="CN25" s="21">
        <f t="shared" si="0"/>
        <v>65</v>
      </c>
      <c r="CO25" s="21">
        <v>1</v>
      </c>
      <c r="CP25" s="21">
        <v>2.5</v>
      </c>
      <c r="CQ25" s="21">
        <v>25</v>
      </c>
      <c r="CR25" s="21">
        <v>35</v>
      </c>
      <c r="CS25" s="21">
        <v>8.5</v>
      </c>
      <c r="CT25" s="21">
        <v>50</v>
      </c>
      <c r="CU25" s="21">
        <v>11</v>
      </c>
      <c r="CV25" s="21">
        <v>1</v>
      </c>
      <c r="CW25" s="21">
        <v>14</v>
      </c>
      <c r="CX25" s="21">
        <v>1.6</v>
      </c>
      <c r="CY25" s="21">
        <v>8</v>
      </c>
      <c r="CZ25" s="21">
        <v>1.5</v>
      </c>
      <c r="DA25" s="21">
        <v>1.2</v>
      </c>
      <c r="DB25" s="21">
        <v>6.25</v>
      </c>
      <c r="DC25" s="21">
        <v>4</v>
      </c>
      <c r="DD25" s="21">
        <v>3</v>
      </c>
      <c r="DE25" s="21">
        <v>2</v>
      </c>
      <c r="DF25" s="21">
        <v>0</v>
      </c>
      <c r="DH25" s="21">
        <f>HLS!$A24</f>
        <v>0</v>
      </c>
      <c r="DI25" s="21" t="str">
        <f>LGS!$A24</f>
        <v>Topinambour - CUIT</v>
      </c>
      <c r="DJ25" s="21">
        <f>FCS!$A24</f>
        <v>0</v>
      </c>
      <c r="DK25" s="21" t="str">
        <f>VDS!$A24</f>
        <v>Lapin, viande - CRUE</v>
      </c>
      <c r="DL25" s="264"/>
      <c r="DM25" s="21">
        <f>'OPT1'!$A24</f>
        <v>0</v>
      </c>
      <c r="DN25" s="21">
        <f>'OPT2'!$A24</f>
        <v>0</v>
      </c>
    </row>
    <row r="26" spans="1:118" ht="25.2" customHeight="1">
      <c r="A26" s="30"/>
      <c r="B26" s="44"/>
      <c r="C26" s="45"/>
      <c r="D26" s="46"/>
      <c r="E26" s="40"/>
      <c r="F26" s="94" t="str">
        <f>IF($AA$55=15,ROUND($AE$39,2)&amp;" grammes","")</f>
        <v/>
      </c>
      <c r="G26" s="9" t="str">
        <f>IF($AA$55=15,ROUND($AF$39,2)&amp;" grammes","")</f>
        <v/>
      </c>
      <c r="H26" s="9" t="str">
        <f>IF($AA$55=15,ROUND($AG$39,2)&amp;" grammes","")</f>
        <v/>
      </c>
      <c r="I26" s="9" t="str">
        <f>IF($AA$55=15,ROUND($AH$39,2)&amp;" grammes","")</f>
        <v/>
      </c>
      <c r="J26" s="9" t="str">
        <f>IF($AA$55=15,ROUND($AI$39,2)&amp;" grammes","")</f>
        <v/>
      </c>
      <c r="K26" s="9" t="str">
        <f>IF($AA$55=15,ROUND($AJ$39,2)&amp;" grammes","")</f>
        <v/>
      </c>
      <c r="L26" s="95" t="str">
        <f>IF($AA$55=15,ROUND($AK$39,2)&amp;" grammes","")</f>
        <v/>
      </c>
      <c r="M26" s="32"/>
      <c r="N26" s="32"/>
      <c r="O26" s="32"/>
      <c r="P26" s="32"/>
      <c r="Q26" s="32"/>
      <c r="R26" s="16"/>
      <c r="S26" s="18"/>
      <c r="T26" s="16"/>
      <c r="U26" s="4"/>
      <c r="W26" s="21" t="e">
        <f>VLOOKUP($I$7,$AD$24:$AI$28,5,0)</f>
        <v>#N/A</v>
      </c>
      <c r="X26" s="276" t="e">
        <f>IF($BC$4=0,$AY$6,"")&amp;VLOOKUP($I$14,HLS!$A$2:$AC$100,18,0)</f>
        <v>#N/A</v>
      </c>
      <c r="Z26" s="243" t="s">
        <v>177</v>
      </c>
      <c r="AA26" s="243"/>
      <c r="AB26" s="21"/>
      <c r="AD26" s="21" t="s">
        <v>324</v>
      </c>
      <c r="AE26" s="21" t="e">
        <f>ROUNDUP(Y$34/$AE$35*100,0)</f>
        <v>#N/A</v>
      </c>
      <c r="AF26" s="21" t="e">
        <f>IF($I$7=$AD$28,"n/a",$AG$21)</f>
        <v>#N/A</v>
      </c>
      <c r="AG26" s="21">
        <f>IF($M$13&gt;0,ROUNDDOWN($AJ$51/$M$13*100,0),0)</f>
        <v>0</v>
      </c>
      <c r="AH26" s="21">
        <f>IF($I$7=$AD$28,"n/a",IF($BC$4=0,IF($M$14&gt;0,$AG$95,0),$BC$6))</f>
        <v>0</v>
      </c>
      <c r="AI26" s="232"/>
      <c r="AJ26" s="232"/>
      <c r="AK26" s="232"/>
      <c r="AL26" s="234">
        <f>$BS$14</f>
        <v>0</v>
      </c>
      <c r="AM26" s="230"/>
      <c r="AN26" s="269" t="str">
        <f>IF($I$13="","PAS DE FECULENTS",$I$13)</f>
        <v>PAS DE FECULENTS</v>
      </c>
      <c r="AO26" s="21">
        <f>IF($I$13="",0,VLOOKUP($I$13,FCS!$A$2:$AC$100,15,0))</f>
        <v>0</v>
      </c>
      <c r="AP26" s="21">
        <f>IF($I$13="",0,VLOOKUP($I$13,FCS!$A$2:$AC$100,16,0))</f>
        <v>0</v>
      </c>
      <c r="AQ26" s="21"/>
      <c r="AR26" s="21" t="s">
        <v>801</v>
      </c>
      <c r="AS26" s="230" t="str">
        <f>IF($AA$55=15," "&amp;LOWER($Y$73),"")</f>
        <v/>
      </c>
      <c r="AT26" s="230"/>
      <c r="AU26" s="21"/>
      <c r="AV26" s="21"/>
      <c r="AW26" s="21"/>
      <c r="AX26" s="21"/>
      <c r="AY26" s="21"/>
      <c r="AZ26" s="232" t="s">
        <v>10</v>
      </c>
      <c r="BA26" s="232"/>
      <c r="BB26" s="232"/>
      <c r="BC26" s="232"/>
      <c r="BD26" s="232" t="s">
        <v>605</v>
      </c>
      <c r="BE26" s="232"/>
      <c r="BF26" s="232" t="s">
        <v>604</v>
      </c>
      <c r="BG26" s="232"/>
      <c r="BH26" s="21" t="s">
        <v>603</v>
      </c>
      <c r="BI26" s="21" t="s">
        <v>607</v>
      </c>
      <c r="BJ26" s="21" t="s">
        <v>608</v>
      </c>
      <c r="BK26" s="21" t="s">
        <v>609</v>
      </c>
      <c r="BL26" s="21" t="s">
        <v>610</v>
      </c>
      <c r="BM26" s="277"/>
      <c r="BN26" s="277"/>
      <c r="BO26" s="21"/>
      <c r="BP26" s="21"/>
      <c r="BQ26" s="21"/>
      <c r="BR26" s="21"/>
      <c r="BS26" s="21"/>
      <c r="BT26" s="240"/>
      <c r="BU26" s="21">
        <v>4</v>
      </c>
      <c r="BV26" s="21" t="e">
        <f>(BQ23/BS23)&amp;" "&amp;BO23&amp; " ("&amp;BQ23&amp;IF(BQ23&gt;1," grammes / "," gramme / ")&amp;BQ23*10/8&amp; " ml)"</f>
        <v>#N/A</v>
      </c>
      <c r="BY26" s="265" t="s">
        <v>1110</v>
      </c>
      <c r="BZ26" s="266">
        <v>1</v>
      </c>
      <c r="CG26" s="240" t="s">
        <v>119</v>
      </c>
      <c r="CH26" s="21">
        <v>1.5</v>
      </c>
      <c r="CI26" s="21">
        <v>3</v>
      </c>
      <c r="CJ26" s="21">
        <v>17</v>
      </c>
      <c r="CK26" s="21">
        <v>65</v>
      </c>
      <c r="CL26" s="21">
        <v>65</v>
      </c>
      <c r="CM26" s="21">
        <v>65</v>
      </c>
      <c r="CN26" s="21">
        <f t="shared" si="0"/>
        <v>65</v>
      </c>
      <c r="CO26" s="21">
        <v>1</v>
      </c>
      <c r="CP26" s="21">
        <v>3</v>
      </c>
      <c r="CQ26" s="21">
        <v>25</v>
      </c>
      <c r="CR26" s="21">
        <v>35</v>
      </c>
      <c r="CS26" s="21">
        <v>8.5</v>
      </c>
      <c r="CT26" s="21">
        <v>50</v>
      </c>
      <c r="CU26" s="21">
        <v>11</v>
      </c>
      <c r="CV26" s="21">
        <v>1</v>
      </c>
      <c r="CW26" s="21">
        <v>14</v>
      </c>
      <c r="CX26" s="21">
        <v>1.6</v>
      </c>
      <c r="CY26" s="21">
        <v>8</v>
      </c>
      <c r="CZ26" s="21">
        <v>2</v>
      </c>
      <c r="DA26" s="21">
        <v>1.5</v>
      </c>
      <c r="DB26" s="21">
        <v>6.25</v>
      </c>
      <c r="DC26" s="21">
        <v>4</v>
      </c>
      <c r="DD26" s="21">
        <v>3</v>
      </c>
      <c r="DE26" s="21">
        <v>2</v>
      </c>
      <c r="DF26" s="21">
        <v>0</v>
      </c>
      <c r="DH26" s="21">
        <f>HLS!$A25</f>
        <v>0</v>
      </c>
      <c r="DI26" s="21" t="str">
        <f>LGS!$A25</f>
        <v>Son d'avoine</v>
      </c>
      <c r="DJ26" s="21">
        <f>FCS!$A25</f>
        <v>0</v>
      </c>
      <c r="DK26" s="21" t="str">
        <f>VDS!$A25</f>
        <v>Lapin, viande - CUITE</v>
      </c>
      <c r="DL26" s="264"/>
      <c r="DM26" s="21">
        <f>'OPT1'!$A25</f>
        <v>0</v>
      </c>
      <c r="DN26" s="21">
        <f>'OPT2'!$A25</f>
        <v>0</v>
      </c>
    </row>
    <row r="27" spans="1:118" ht="25.2" customHeight="1">
      <c r="A27" s="30"/>
      <c r="B27" s="47"/>
      <c r="C27" s="48" t="str">
        <f>IF($AA$54=8,"Le Besoin Energétique de votre chien","")</f>
        <v/>
      </c>
      <c r="D27" s="49"/>
      <c r="E27" s="40"/>
      <c r="F27" s="94" t="str">
        <f>IF($AA$55=15,ROUND((100*$AE$39)/SUM($AE$39:$AI$39),2)&amp; "% (MS)","")</f>
        <v/>
      </c>
      <c r="G27" s="9" t="str">
        <f>IF($AA$55=15,ROUND((100*$AF$39)/SUM($AE$39:$AI$39),2)&amp; "% (MS)","")</f>
        <v/>
      </c>
      <c r="H27" s="9" t="str">
        <f>IF($AA$55=15,ROUND((100*$AG$39)/SUM($AE$39:$AI$39),2)&amp; "% (MS)","")</f>
        <v/>
      </c>
      <c r="I27" s="9" t="str">
        <f>IF($AA$55=15,ROUND((100*$AH$39)/SUM($AE$39:$AI$39),2)&amp; "% (MS)","")</f>
        <v/>
      </c>
      <c r="J27" s="9" t="str">
        <f>IF($AA$55=15,ROUND((100*$AI$39)/SUM($AE$39:$AI$39),2)&amp; "% (MS)","")</f>
        <v/>
      </c>
      <c r="K27" s="9" t="str">
        <f>IF($AA$55=15,ROUND((100*$AJ$39)/SUM($AE$39:$AI$39),2)&amp; "% (MS)","")</f>
        <v/>
      </c>
      <c r="L27" s="95" t="str">
        <f>IF($AA$55=15,ROUND((100*$AK$39)/SUM($AE$39:$AI$39),2)&amp; "% (MS)","")</f>
        <v/>
      </c>
      <c r="M27" s="29"/>
      <c r="N27" s="29"/>
      <c r="O27" s="29"/>
      <c r="P27" s="29"/>
      <c r="Q27" s="29"/>
      <c r="R27" s="16"/>
      <c r="S27" s="16"/>
      <c r="T27" s="16"/>
      <c r="W27" s="21" t="e">
        <f>$AI$24</f>
        <v>#N/A</v>
      </c>
      <c r="X27" s="230">
        <f>$I$8</f>
        <v>0</v>
      </c>
      <c r="Z27" s="21" t="s">
        <v>175</v>
      </c>
      <c r="AA27" s="21" t="s">
        <v>176</v>
      </c>
      <c r="AB27" s="21"/>
      <c r="AD27" s="21" t="s">
        <v>1075</v>
      </c>
      <c r="AE27" s="21" t="e">
        <f>ROUND(($Z$35-$AK$52-$AE$52)/$M$11*100,0)</f>
        <v>#N/A</v>
      </c>
      <c r="AF27" s="21" t="e">
        <f>IF($I$7=$AD$28,"n/a",$AG$21)</f>
        <v>#N/A</v>
      </c>
      <c r="AG27" s="21">
        <v>0</v>
      </c>
      <c r="AH27" s="21">
        <f>IF($I$7=$AD$28,"n/a",IF($BC$4=0,IF($M$14&gt;0,$AP$87,0),$BC$6))</f>
        <v>0</v>
      </c>
      <c r="AI27" s="232"/>
      <c r="AJ27" s="232"/>
      <c r="AK27" s="232"/>
      <c r="AL27" s="234">
        <f>$BT$14</f>
        <v>0</v>
      </c>
      <c r="AM27" s="230"/>
      <c r="AN27" s="269" t="str">
        <f>IF($I$14="","PAS D'HUILE",$I$14)</f>
        <v>PAS D'HUILE</v>
      </c>
      <c r="AO27" s="21">
        <f>IF($I$14="",0,VLOOKUP($I$14,HLS!$A$2:$AC$100,15,0))</f>
        <v>0</v>
      </c>
      <c r="AP27" s="21">
        <f>IF($I$14="",0,VLOOKUP($I$14,HLS!$A$2:$AC$100,16,0))</f>
        <v>0</v>
      </c>
      <c r="AQ27" s="21"/>
      <c r="AR27" s="21" t="s">
        <v>802</v>
      </c>
      <c r="AS27" s="230" t="str">
        <f>IF($AA$55=15," ","")</f>
        <v/>
      </c>
      <c r="AT27" s="21"/>
      <c r="AU27" s="21"/>
      <c r="AV27" s="21"/>
      <c r="AW27" s="21"/>
      <c r="AX27" s="21"/>
      <c r="AY27" s="21"/>
      <c r="AZ27" s="232" t="str">
        <f>$AW$23</f>
        <v/>
      </c>
      <c r="BA27" s="232"/>
      <c r="BB27" s="232"/>
      <c r="BC27" s="232"/>
      <c r="BD27" s="232" t="e">
        <f>IF($BJ$23&gt;0,ROUNDDOWN($BM$23/((($BF$23/100)*$BD$23)/1000),0)+$BJ$23,0)</f>
        <v>#N/A</v>
      </c>
      <c r="BE27" s="232"/>
      <c r="BF27" s="232" t="e">
        <f>IF($BJ$23&gt;0,ROUNDUP($BM$23/((($BF$23/100)*$BD$23)/1000),0)+$BJ$23,0)</f>
        <v>#N/A</v>
      </c>
      <c r="BG27" s="232"/>
      <c r="BH27" s="21" t="e">
        <f>IF($BJ$23&gt;0,$BM$23/((($BF$23/100)*$BD$23)/1000)+$BJ$23,0)</f>
        <v>#N/A</v>
      </c>
      <c r="BI27" s="21" t="e">
        <f>ROUND(((($BD27*$BF$23/100)*$BD$23/1000)+$AL$39)*1000/$Y$32,2)</f>
        <v>#N/A</v>
      </c>
      <c r="BJ27" s="21" t="e">
        <f>ROUND(((($BF27*$BF$23/100)*$BD$23/1000)+$AL$39)*1000/$Y$32,2)</f>
        <v>#N/A</v>
      </c>
      <c r="BK27" s="21" t="e">
        <f>IF($BI27&gt;$BJ$30,0,1)</f>
        <v>#N/A</v>
      </c>
      <c r="BL27" s="21" t="e">
        <f>IF($BK27=0,IF(BI27&gt;$BJ$38,$BD27-1,$BD27),IF(BJ27&gt;$BJ$38,$BF27-1,$BF27))</f>
        <v>#N/A</v>
      </c>
      <c r="BM27" s="277"/>
      <c r="BN27" s="277"/>
      <c r="BO27" s="21"/>
      <c r="BP27" s="21"/>
      <c r="BQ27" s="21"/>
      <c r="BR27" s="21"/>
      <c r="BS27" s="21"/>
      <c r="BT27" s="230"/>
      <c r="BU27" s="21" t="s">
        <v>833</v>
      </c>
      <c r="BV27" s="21">
        <f>IF($I$8&lt;&gt;"",VLOOKUP($I$8,CMV!$A$2:$Z$100,17,0),0)</f>
        <v>0</v>
      </c>
      <c r="BY27" s="265" t="s">
        <v>629</v>
      </c>
      <c r="BZ27" s="266">
        <v>1</v>
      </c>
      <c r="CB27" s="232" t="s">
        <v>123</v>
      </c>
      <c r="CC27" s="232"/>
      <c r="CD27" s="21" t="s">
        <v>279</v>
      </c>
      <c r="CE27" s="21" t="s">
        <v>280</v>
      </c>
      <c r="CG27" s="240" t="s">
        <v>139</v>
      </c>
      <c r="CH27" s="21">
        <v>2</v>
      </c>
      <c r="CI27" s="21">
        <v>3</v>
      </c>
      <c r="CJ27" s="21">
        <v>20</v>
      </c>
      <c r="CK27" s="21">
        <v>75</v>
      </c>
      <c r="CL27" s="21">
        <v>75</v>
      </c>
      <c r="CM27" s="21">
        <v>75</v>
      </c>
      <c r="CN27" s="21">
        <f t="shared" si="0"/>
        <v>75</v>
      </c>
      <c r="CO27" s="21">
        <v>1</v>
      </c>
      <c r="CP27" s="21">
        <v>3</v>
      </c>
      <c r="CQ27" s="21">
        <v>25</v>
      </c>
      <c r="CR27" s="21">
        <v>35</v>
      </c>
      <c r="CS27" s="21">
        <v>8.5</v>
      </c>
      <c r="CT27" s="21">
        <v>50</v>
      </c>
      <c r="CU27" s="21">
        <v>11</v>
      </c>
      <c r="CV27" s="21">
        <v>1</v>
      </c>
      <c r="CW27" s="21">
        <v>14</v>
      </c>
      <c r="CX27" s="21">
        <v>1.6</v>
      </c>
      <c r="CY27" s="21">
        <v>8</v>
      </c>
      <c r="CZ27" s="21">
        <v>2</v>
      </c>
      <c r="DA27" s="21">
        <v>1</v>
      </c>
      <c r="DB27" s="21">
        <v>6.25</v>
      </c>
      <c r="DC27" s="21">
        <v>4</v>
      </c>
      <c r="DD27" s="21">
        <v>3</v>
      </c>
      <c r="DE27" s="21">
        <v>2</v>
      </c>
      <c r="DF27" s="21">
        <v>0</v>
      </c>
      <c r="DH27" s="21">
        <f>HLS!$A26</f>
        <v>0</v>
      </c>
      <c r="DI27" s="21">
        <f>LGS!$A26</f>
        <v>0</v>
      </c>
      <c r="DJ27" s="21">
        <f>FCS!$A26</f>
        <v>0</v>
      </c>
      <c r="DK27" s="21" t="str">
        <f>VDS!$A26</f>
        <v>Porc, épaule - CRUE</v>
      </c>
      <c r="DL27" s="264"/>
      <c r="DM27" s="21">
        <f>'OPT1'!$A26</f>
        <v>0</v>
      </c>
      <c r="DN27" s="21">
        <f>'OPT2'!$A26</f>
        <v>0</v>
      </c>
    </row>
    <row r="28" spans="1:118" ht="25.2" customHeight="1">
      <c r="A28" s="30"/>
      <c r="B28" s="50"/>
      <c r="C28" s="51" t="str">
        <f>IF($AA$54=8,ROUND($Z$32,0)/$X$101&amp;" kcal par jour","")</f>
        <v/>
      </c>
      <c r="D28" s="52"/>
      <c r="E28" s="40"/>
      <c r="F28" s="96" t="str">
        <f>IF($AA$55=15,IF($AO$47=1,$AN$60,IF($AR$46=1,$AN$60,"")),"")</f>
        <v/>
      </c>
      <c r="G28" s="19" t="str">
        <f>IF($AA$55=15,IF($AO$49=1,$AN$61,IF($AO$48=1,$AN$60,"")),"")</f>
        <v/>
      </c>
      <c r="H28" s="19" t="str">
        <f>IF($AA$55=15,IF($AO$50=1,$AN$61,""),"")</f>
        <v/>
      </c>
      <c r="I28" s="19" t="str">
        <f>IF($AA$55=15,IF($AO$51=1,$AN$61,""),"")</f>
        <v/>
      </c>
      <c r="J28" s="19" t="str">
        <f>IF($AA$55=15,IF($AO$52=1,$AN$60,IF($AO$53=1,$AN$61,"")),"")</f>
        <v/>
      </c>
      <c r="K28" s="19" t="str">
        <f>IF($AA$55=15,IF($AR$49=1,$AN$60,IF($AR$52=1,$AN$61,"")),"")</f>
        <v/>
      </c>
      <c r="L28" s="97" t="str">
        <f>IF($AA$55=15,IF($AR$47=1,$AN$60,IF($AR$53=1,$AN$61,"")),"")</f>
        <v/>
      </c>
      <c r="M28" s="32"/>
      <c r="N28" s="32"/>
      <c r="O28" s="32"/>
      <c r="P28" s="32"/>
      <c r="Q28" s="32"/>
      <c r="R28" s="16"/>
      <c r="S28" s="16"/>
      <c r="T28" s="16"/>
      <c r="U28" s="4"/>
      <c r="W28" s="21" t="s">
        <v>797</v>
      </c>
      <c r="X28" s="279">
        <f>$I$7</f>
        <v>0</v>
      </c>
      <c r="Z28" s="21" t="str">
        <f>IF($I$7=$AD$28,(($M$11*$X$3)+($M$12*$Y$3)+($M$13*$Z$3)),"n/a")</f>
        <v>n/a</v>
      </c>
      <c r="AA28" s="21" t="str">
        <f>IF($I$7=$AD$28,($Z$35-$Z$9)*99.9/$Z$28,"n/a")</f>
        <v>n/a</v>
      </c>
      <c r="AB28" s="269"/>
      <c r="AD28" s="21" t="s">
        <v>954</v>
      </c>
      <c r="AE28" s="21" t="str">
        <f>"n/a"</f>
        <v>n/a</v>
      </c>
      <c r="AF28" s="21" t="str">
        <f>"n/a"</f>
        <v>n/a</v>
      </c>
      <c r="AG28" s="21" t="str">
        <f>"n/a"</f>
        <v>n/a</v>
      </c>
      <c r="AH28" s="21" t="str">
        <f>"n/a"</f>
        <v>n/a</v>
      </c>
      <c r="AI28" s="232"/>
      <c r="AJ28" s="232"/>
      <c r="AK28" s="232"/>
      <c r="AL28" s="21" t="str">
        <f>"n/a"</f>
        <v>n/a</v>
      </c>
      <c r="AM28" s="230"/>
      <c r="AN28" s="21" t="s">
        <v>14</v>
      </c>
      <c r="AO28" s="21" t="e">
        <f>($AZ$18*AO$24/100)+($W$24*AO$25/100)+($W$25*AO$26/100)+($W$26*AO$27/100)+($W$58*AO$22/100)+($W$64*AO$21/100)</f>
        <v>#N/A</v>
      </c>
      <c r="AP28" s="21" t="e">
        <f>($AZ$18*AP$24/100)+($W$24*AP$25/100)+($W$25*AP$26/100)+($W$26*AP$27/100)+($W$58*AP$22/100)+($W$64*AP$21/100)</f>
        <v>#N/A</v>
      </c>
      <c r="AQ28" s="21"/>
      <c r="AR28" s="230"/>
      <c r="AS28" s="230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77"/>
      <c r="BM28" s="277"/>
      <c r="BN28" s="277"/>
      <c r="BO28" s="21"/>
      <c r="BP28" s="21"/>
      <c r="BQ28" s="21"/>
      <c r="BR28" s="21"/>
      <c r="BS28" s="21"/>
      <c r="BT28" s="230"/>
      <c r="BU28" s="240"/>
      <c r="BY28" s="265" t="s">
        <v>630</v>
      </c>
      <c r="BZ28" s="266">
        <v>1</v>
      </c>
      <c r="CB28" s="240" t="s">
        <v>124</v>
      </c>
      <c r="CC28" s="21">
        <v>1</v>
      </c>
      <c r="CD28" s="21">
        <v>0</v>
      </c>
      <c r="CE28" s="21">
        <v>0</v>
      </c>
      <c r="CO28" s="280" t="s">
        <v>179</v>
      </c>
      <c r="DF28" s="230"/>
      <c r="DH28" s="21">
        <f>HLS!$A27</f>
        <v>0</v>
      </c>
      <c r="DI28" s="21">
        <f>LGS!$A27</f>
        <v>0</v>
      </c>
      <c r="DJ28" s="21">
        <f>FCS!$A27</f>
        <v>0</v>
      </c>
      <c r="DK28" s="21" t="str">
        <f>VDS!$A27</f>
        <v>Porc, épaule - CUITE</v>
      </c>
      <c r="DL28" s="264"/>
      <c r="DM28" s="21">
        <f>'OPT1'!$A27</f>
        <v>0</v>
      </c>
      <c r="DN28" s="21">
        <f>'OPT2'!$A27</f>
        <v>0</v>
      </c>
    </row>
    <row r="29" spans="1:118" ht="25.2" customHeight="1">
      <c r="A29" s="30"/>
      <c r="B29" s="44"/>
      <c r="C29" s="53"/>
      <c r="D29" s="52"/>
      <c r="E29" s="56"/>
      <c r="F29" s="98"/>
      <c r="G29" s="173" t="str">
        <f>IF($AA$55=15," RPC recommandé (min) : "&amp;$Y$35&amp;" ("&amp;$AI$62&amp;")   |   Besoin protéique (min) : "&amp;$Y$36&amp;" g ("&amp;$AJ$62&amp;" g)   |   Besoin calcique : "&amp;$BM$20&amp;" g/Mcal de BEE","")</f>
        <v/>
      </c>
      <c r="H29" s="174"/>
      <c r="I29" s="174"/>
      <c r="J29" s="174"/>
      <c r="K29" s="174"/>
      <c r="L29" s="175"/>
      <c r="M29" s="32"/>
      <c r="N29" s="32"/>
      <c r="O29" s="32"/>
      <c r="P29" s="32"/>
      <c r="Q29" s="32"/>
      <c r="R29" s="16"/>
      <c r="S29" s="16"/>
      <c r="T29" s="16"/>
      <c r="U29" s="4"/>
      <c r="V29" s="281"/>
      <c r="W29" s="21">
        <f>$AZ$17</f>
        <v>0</v>
      </c>
      <c r="X29" s="230" t="str">
        <f>IF($W29&gt;1,"grammes ","gramme ")&amp;IF($W29&gt;1,VLOOKUP($I$15,VDS!$A$2:$AC$108,18,0),"")</f>
        <v xml:space="preserve">gramme </v>
      </c>
      <c r="AO29" s="21"/>
      <c r="AP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77"/>
      <c r="BM29" s="277"/>
      <c r="BN29" s="277"/>
      <c r="BO29" s="21"/>
      <c r="BP29" s="21"/>
      <c r="BQ29" s="21"/>
      <c r="BR29" s="21"/>
      <c r="BS29" s="21"/>
      <c r="BT29" s="230"/>
      <c r="BU29" s="240"/>
      <c r="BY29" s="265" t="s">
        <v>631</v>
      </c>
      <c r="BZ29" s="266">
        <v>1</v>
      </c>
      <c r="CB29" s="240" t="s">
        <v>614</v>
      </c>
      <c r="CC29" s="21">
        <v>1</v>
      </c>
      <c r="CD29" s="21">
        <v>0</v>
      </c>
      <c r="CE29" s="21">
        <v>0</v>
      </c>
      <c r="DH29" s="21">
        <f>HLS!$A28</f>
        <v>0</v>
      </c>
      <c r="DI29" s="21">
        <f>LGS!$A28</f>
        <v>0</v>
      </c>
      <c r="DJ29" s="21">
        <f>FCS!$A28</f>
        <v>0</v>
      </c>
      <c r="DK29" s="21" t="str">
        <f>VDS!$A28</f>
        <v>Porc, longe - CRUE</v>
      </c>
      <c r="DL29" s="264"/>
      <c r="DM29" s="21">
        <f>'OPT1'!$A28</f>
        <v>0</v>
      </c>
      <c r="DN29" s="21">
        <f>'OPT2'!$A28</f>
        <v>0</v>
      </c>
    </row>
    <row r="30" spans="1:118" ht="25.2" customHeight="1">
      <c r="A30" s="30"/>
      <c r="B30" s="54"/>
      <c r="C30" s="8"/>
      <c r="D30" s="55"/>
      <c r="E30" s="56"/>
      <c r="F30" s="157" t="str">
        <f>IF($AA$55=15,"Protéines totales : "&amp;ROUND($AE$39,2)&amp;" g","")</f>
        <v/>
      </c>
      <c r="G30" s="158"/>
      <c r="H30" s="99" t="str">
        <f>IF($AA$55=15,"Omega-3 : "&amp;ROUND($AR$39,2)&amp;" g","")</f>
        <v/>
      </c>
      <c r="I30" s="100" t="str">
        <f>IF($AA$55=15,"EPA : "&amp;IF($AO$28&gt;1,ROUND($AO$28,2),ROUND($AO$28,3))&amp; " g","")</f>
        <v/>
      </c>
      <c r="J30" s="99" t="str">
        <f>IF($AA$55=15,"Rapport Ca/P : "&amp;$AJ$40,"")</f>
        <v/>
      </c>
      <c r="K30" s="101" t="str">
        <f>IF($AA$55=15,"[ cible 1 à "&amp;$AQ$48&amp;" ]","")</f>
        <v/>
      </c>
      <c r="L30" s="102" t="str">
        <f>IF($AA$55=15,"Viande : "&amp;ROUND($Z$11,0)&amp;" kcal","")</f>
        <v/>
      </c>
      <c r="M30" s="29"/>
      <c r="N30" s="29"/>
      <c r="O30" s="29"/>
      <c r="P30" s="29"/>
      <c r="Q30" s="29"/>
      <c r="R30" s="16"/>
      <c r="S30" s="16"/>
      <c r="T30" s="16"/>
      <c r="V30" s="281"/>
      <c r="W30" s="243" t="s">
        <v>163</v>
      </c>
      <c r="X30" s="243"/>
      <c r="Y30" s="243"/>
      <c r="Z30" s="243"/>
      <c r="AA30" s="238"/>
      <c r="AD30" s="243" t="str">
        <f>"                     CALCULS DES CONSTITUANTS ANALYTIQUES DE LA RATION"</f>
        <v xml:space="preserve">                     CALCULS DES CONSTITUANTS ANALYTIQUES DE LA RATION</v>
      </c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 t="s">
        <v>745</v>
      </c>
      <c r="BJ30" s="21" t="e">
        <f>IF(CTRL!C16&gt;0,IF($BJ35&gt;$BJ37,$BJ37,$BJ35),$BJ37)</f>
        <v>#N/A</v>
      </c>
      <c r="BK30" s="21"/>
      <c r="BL30" s="277"/>
      <c r="BM30" s="277"/>
      <c r="BN30" s="277"/>
      <c r="BO30" s="21"/>
      <c r="BP30" s="21"/>
      <c r="BQ30" s="21"/>
      <c r="BR30" s="21"/>
      <c r="BS30" s="21"/>
      <c r="BT30" s="230"/>
      <c r="BU30" s="240"/>
      <c r="BY30" s="265" t="s">
        <v>50</v>
      </c>
      <c r="BZ30" s="266">
        <v>1</v>
      </c>
      <c r="CB30" s="240" t="s">
        <v>125</v>
      </c>
      <c r="CC30" s="21">
        <v>1.2</v>
      </c>
      <c r="CD30" s="21">
        <v>0</v>
      </c>
      <c r="CE30" s="21">
        <v>0</v>
      </c>
      <c r="DH30" s="21">
        <f>HLS!$A29</f>
        <v>0</v>
      </c>
      <c r="DI30" s="21">
        <f>LGS!$A29</f>
        <v>0</v>
      </c>
      <c r="DJ30" s="21">
        <f>FCS!$A29</f>
        <v>0</v>
      </c>
      <c r="DK30" s="21" t="str">
        <f>VDS!$A29</f>
        <v>Porc, longe - CUITE</v>
      </c>
      <c r="DL30" s="264"/>
      <c r="DM30" s="21">
        <f>'OPT1'!$A29</f>
        <v>0</v>
      </c>
      <c r="DN30" s="21">
        <f>'OPT2'!$A29</f>
        <v>0</v>
      </c>
    </row>
    <row r="31" spans="1:118" ht="25.2" customHeight="1">
      <c r="A31" s="30"/>
      <c r="B31" s="170" t="s">
        <v>998</v>
      </c>
      <c r="C31" s="171"/>
      <c r="D31" s="172"/>
      <c r="E31" s="56"/>
      <c r="F31" s="157" t="str">
        <f>IF($AA$55=15,"Protéines animales : "&amp;ROUND($AE$40,2)&amp;" g ("&amp;ROUND($AE$42,1)&amp;"%)","")</f>
        <v/>
      </c>
      <c r="G31" s="158"/>
      <c r="H31" s="99" t="str">
        <f>IF($AA$55=15,"Omega-6 : "&amp;ROUND($AQ$39,2)&amp;" g","")</f>
        <v/>
      </c>
      <c r="I31" s="100" t="str">
        <f>IF($AA$55=15,"DHA : "&amp;IF($AP$28&gt;1,ROUND($AP$28,2),ROUND($AP$28,3))&amp; " g","")</f>
        <v/>
      </c>
      <c r="J31" s="99" t="str">
        <f>IF($AA$55=15,"Ca/Mcal EM : "&amp;$AJ$24,"")</f>
        <v/>
      </c>
      <c r="K31" s="101"/>
      <c r="L31" s="102" t="str">
        <f>IF($AA$55=15,"Légume : "&amp;ROUND($Z$12,0)&amp;" kcal","")</f>
        <v/>
      </c>
      <c r="M31" s="32"/>
      <c r="N31" s="32"/>
      <c r="O31" s="32"/>
      <c r="P31" s="32"/>
      <c r="Q31" s="32"/>
      <c r="R31" s="16"/>
      <c r="S31" s="16"/>
      <c r="T31" s="16"/>
      <c r="U31" s="4"/>
      <c r="V31" s="281"/>
      <c r="W31" s="240"/>
      <c r="X31" s="282" t="s">
        <v>1151</v>
      </c>
      <c r="Y31" s="235">
        <f>IF($C$15&lt;21,$C$15^0.75,$C$15^0.667)</f>
        <v>0</v>
      </c>
      <c r="Z31" s="21">
        <f>IF($Y$32&gt;0,ROUND($Y$32*$E$19*$E$20*$E$21*$E$22*$E$23*$E$24*$E$25,0),1)</f>
        <v>1</v>
      </c>
      <c r="AA31" s="236" t="s">
        <v>930</v>
      </c>
      <c r="AD31" s="21" t="s">
        <v>35</v>
      </c>
      <c r="AE31" s="21" t="s">
        <v>4</v>
      </c>
      <c r="AF31" s="21" t="s">
        <v>5</v>
      </c>
      <c r="AG31" s="21" t="s">
        <v>6</v>
      </c>
      <c r="AH31" s="21" t="s">
        <v>7</v>
      </c>
      <c r="AI31" s="21" t="s">
        <v>32</v>
      </c>
      <c r="AJ31" s="21" t="s">
        <v>8</v>
      </c>
      <c r="AK31" s="21" t="s">
        <v>9</v>
      </c>
      <c r="AL31" s="234" t="s">
        <v>8</v>
      </c>
      <c r="AM31" s="234" t="s">
        <v>9</v>
      </c>
      <c r="AN31" s="21" t="s">
        <v>34</v>
      </c>
      <c r="AO31" s="21" t="s">
        <v>36</v>
      </c>
      <c r="AP31" s="21" t="s">
        <v>126</v>
      </c>
      <c r="AQ31" s="21" t="s">
        <v>127</v>
      </c>
      <c r="AR31" s="21" t="s">
        <v>128</v>
      </c>
      <c r="AS31" s="21" t="s">
        <v>212</v>
      </c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 t="s">
        <v>740</v>
      </c>
      <c r="BJ31" s="21" t="str">
        <f>$E$21</f>
        <v/>
      </c>
      <c r="BK31" s="21"/>
      <c r="BL31" s="243" t="s">
        <v>505</v>
      </c>
      <c r="BM31" s="238"/>
      <c r="BN31" s="277"/>
      <c r="BO31" s="21"/>
      <c r="BP31" s="21"/>
      <c r="BQ31" s="21"/>
      <c r="BR31" s="21"/>
      <c r="BS31" s="21"/>
      <c r="BT31" s="240"/>
      <c r="BU31" s="240"/>
      <c r="BY31" s="265" t="s">
        <v>632</v>
      </c>
      <c r="BZ31" s="266">
        <v>1</v>
      </c>
      <c r="CB31" s="240" t="s">
        <v>616</v>
      </c>
      <c r="CC31" s="21">
        <v>1.1000000000000001</v>
      </c>
      <c r="CD31" s="21">
        <v>0</v>
      </c>
      <c r="CE31" s="21">
        <v>0</v>
      </c>
      <c r="DH31" s="21">
        <f>HLS!$A30</f>
        <v>0</v>
      </c>
      <c r="DI31" s="21">
        <f>LGS!$A30</f>
        <v>0</v>
      </c>
      <c r="DJ31" s="21">
        <f>FCS!$A30</f>
        <v>0</v>
      </c>
      <c r="DK31" s="21" t="str">
        <f>VDS!$A30</f>
        <v>Porc, filet maigre - CRU</v>
      </c>
      <c r="DL31" s="264"/>
      <c r="DM31" s="21">
        <f>'OPT1'!$A30</f>
        <v>0</v>
      </c>
      <c r="DN31" s="21">
        <f>'OPT2'!$A30</f>
        <v>0</v>
      </c>
    </row>
    <row r="32" spans="1:118" ht="25.2" customHeight="1">
      <c r="A32" s="30"/>
      <c r="B32" s="159" t="s">
        <v>997</v>
      </c>
      <c r="C32" s="160"/>
      <c r="D32" s="161"/>
      <c r="E32" s="56"/>
      <c r="F32" s="157" t="str">
        <f>IF($AA$55=15,"Protéines végétales : "&amp;ROUND($AE$41,2)&amp;" g ("&amp;ROUND($AE$43,1)&amp;"%)","")</f>
        <v/>
      </c>
      <c r="G32" s="158"/>
      <c r="H32" s="99" t="str">
        <f>IF($AA$55=15,"Omega-9 : "&amp;ROUND($AP$39,2)&amp;" g","")</f>
        <v/>
      </c>
      <c r="I32" s="100" t="str">
        <f>IF($AA$55=15,"BEE : "&amp;ROUNDUP($Y$32,0),"")</f>
        <v/>
      </c>
      <c r="J32" s="99" t="str">
        <f>IF($AA$55=15,"P/Mcal EM : "&amp;$AK$24,"")</f>
        <v/>
      </c>
      <c r="K32" s="101"/>
      <c r="L32" s="102" t="str">
        <f>IF($AA$55=15,"Féculent : "&amp;ROUND($Z$13,0)&amp;" kcal","")</f>
        <v/>
      </c>
      <c r="M32" s="32"/>
      <c r="N32" s="32">
        <f>247+44+44+154</f>
        <v>489</v>
      </c>
      <c r="O32" s="32"/>
      <c r="P32" s="32"/>
      <c r="Q32" s="32"/>
      <c r="R32" s="16"/>
      <c r="S32" s="16"/>
      <c r="T32" s="16"/>
      <c r="U32" s="4"/>
      <c r="V32" s="281"/>
      <c r="W32" s="283" t="s">
        <v>1152</v>
      </c>
      <c r="X32" s="274"/>
      <c r="Y32" s="21">
        <f>ROUND(IF($C$15&lt;21,$Y$31*120,$Y$31*156),0)*$X$101</f>
        <v>0</v>
      </c>
      <c r="Z32" s="21">
        <f>IF($Z$31&lt;($Y$32/2),$Y$32/2,$Z$31)</f>
        <v>1</v>
      </c>
      <c r="AA32" s="232"/>
      <c r="AD32" s="21" t="str">
        <f>IF($W$61=1,$G$11,"Pas d'œuf")</f>
        <v>Pas d'œuf</v>
      </c>
      <c r="AE32" s="21">
        <f>IF($W$61=1,VLOOKUP($G$11,'OPT1'!$A$2:$AC$100,3,0),0)</f>
        <v>0</v>
      </c>
      <c r="AF32" s="21">
        <f>IF($W$61=1,VLOOKUP($G$11,'OPT1'!$A$2:$AC$100,4,0),0)</f>
        <v>0</v>
      </c>
      <c r="AG32" s="21">
        <f>IF($W$61=1,VLOOKUP($G$11,'OPT1'!$A$2:$AC$100,5,0),0)</f>
        <v>0</v>
      </c>
      <c r="AH32" s="21">
        <f>IF($W$61=1,VLOOKUP($G$11,'OPT1'!$A$2:$AC$100,6,0),0)</f>
        <v>0</v>
      </c>
      <c r="AI32" s="21">
        <f>IF($W$61=1,VLOOKUP($G$11,'OPT1'!$A$2:$AC$100,7,0),0)</f>
        <v>0</v>
      </c>
      <c r="AJ32" s="21">
        <f>IF($W$61=1,VLOOKUP($G$11,'OPT1'!$A$2:$AC$100,8,0)/1000,0)</f>
        <v>0</v>
      </c>
      <c r="AK32" s="21">
        <f>IF($W$61=1,VLOOKUP($G$11,'OPT1'!$A$2:$AC$100,9,0)/1000,0)</f>
        <v>0</v>
      </c>
      <c r="AL32" s="21">
        <f>IF($W$61=1,VLOOKUP($G$11,'OPT1'!$A$2:$AC$100,8,0)/1000,0)</f>
        <v>0</v>
      </c>
      <c r="AM32" s="21">
        <f>IF($W$61=1,VLOOKUP($G$11,'OPT1'!$A$2:$AC$100,9,0)/1000,0)</f>
        <v>0</v>
      </c>
      <c r="AN32" s="21">
        <f>IF($W$61=1,VLOOKUP($G$11,'OPT1'!$A$2:$AC$100,10,0),0)</f>
        <v>0</v>
      </c>
      <c r="AO32" s="21">
        <f>IF($W$61=1,VLOOKUP($G$11,'OPT1'!$A$2:$AC$100,11,0),0)</f>
        <v>0</v>
      </c>
      <c r="AP32" s="21">
        <f>IF($W$61=1,VLOOKUP($G$11,'OPT1'!$A$2:$AC$100,12,0),0)</f>
        <v>0</v>
      </c>
      <c r="AQ32" s="21">
        <f>IF($W$61=1,VLOOKUP($G$11,'OPT1'!$A$2:$AC$100,13,0),0)</f>
        <v>0</v>
      </c>
      <c r="AR32" s="21">
        <f>IF($W$61=1,VLOOKUP($G$11,'OPT1'!$A$2:$AC$100,14,0),0)</f>
        <v>0</v>
      </c>
      <c r="AS32" s="21">
        <f>IF($W$61=1,100-AE32-AF32-AG32-AH32-AI32,0)</f>
        <v>0</v>
      </c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51" t="s">
        <v>744</v>
      </c>
      <c r="BH32" s="21" t="s">
        <v>741</v>
      </c>
      <c r="BI32" s="21" t="s">
        <v>1113</v>
      </c>
      <c r="BJ32" s="21" t="e">
        <f>ROUNDUP(($BJ$39+$BJ$37+$BJ$37+0.09)/3,2)</f>
        <v>#N/A</v>
      </c>
      <c r="BK32" s="21"/>
      <c r="BL32" s="256" t="str">
        <f>CTRL!B16</f>
        <v>actif</v>
      </c>
      <c r="BM32" s="238"/>
      <c r="BN32" s="277"/>
      <c r="BO32" s="21"/>
      <c r="BP32" s="21"/>
      <c r="BQ32" s="21"/>
      <c r="BR32" s="21"/>
      <c r="BS32" s="21"/>
      <c r="BY32" s="265" t="s">
        <v>633</v>
      </c>
      <c r="BZ32" s="266">
        <v>1</v>
      </c>
      <c r="CB32" s="240" t="s">
        <v>615</v>
      </c>
      <c r="CC32" s="21">
        <v>1.3</v>
      </c>
      <c r="CD32" s="21">
        <v>0</v>
      </c>
      <c r="CE32" s="21">
        <v>0</v>
      </c>
      <c r="DH32" s="21">
        <f>HLS!$A31</f>
        <v>0</v>
      </c>
      <c r="DI32" s="21">
        <f>LGS!$A31</f>
        <v>0</v>
      </c>
      <c r="DJ32" s="21">
        <f>FCS!$A31</f>
        <v>0</v>
      </c>
      <c r="DK32" s="21" t="str">
        <f>VDS!$A31</f>
        <v>Porc, filet maigre - BIEN CUIT</v>
      </c>
      <c r="DL32" s="264"/>
      <c r="DM32" s="21">
        <f>'OPT1'!$A31</f>
        <v>0</v>
      </c>
      <c r="DN32" s="21">
        <f>'OPT2'!$A31</f>
        <v>0</v>
      </c>
    </row>
    <row r="33" spans="1:118" ht="25.2" customHeight="1">
      <c r="A33" s="30"/>
      <c r="B33" s="164" t="s">
        <v>1050</v>
      </c>
      <c r="C33" s="165"/>
      <c r="D33" s="166"/>
      <c r="E33" s="57"/>
      <c r="F33" s="157" t="str">
        <f>IF($AA$55=15,"Amidon : "&amp;ROUND($AO$39,2)&amp;" g soit "&amp;ROUND((100*$AO$39)/SUM($AE$39:$AI$39),2)&amp; "% (MS)","")</f>
        <v/>
      </c>
      <c r="G33" s="158"/>
      <c r="H33" s="99" t="str">
        <f>IF($AA$55=15,"Rapport 6/3 : "&amp;ROUND($AR$40,2),"")</f>
        <v/>
      </c>
      <c r="I33" s="100" t="str">
        <f>IF($AA$55=15,"RPC : "&amp;ROUND($AE$39/$Z$23*1000,0),"")</f>
        <v/>
      </c>
      <c r="J33" s="99" t="str">
        <f>IF($AA$55=15,"Ca/Mcal BEE : "&amp;$AJ$21,"")</f>
        <v/>
      </c>
      <c r="K33" s="101" t="str">
        <f>IF($AA$55=15,"[ cible "&amp;$AQ$49&amp;" à "&amp;$AQ$55&amp;" ]","")</f>
        <v/>
      </c>
      <c r="L33" s="102" t="str">
        <f>IF($AA$55=15,"Autre(s) : "&amp;ROUND($Z$23-$Z$11-$Z$12-$Z$13,0)&amp;" kcal","")</f>
        <v/>
      </c>
      <c r="M33" s="32"/>
      <c r="N33" s="32"/>
      <c r="O33" s="32"/>
      <c r="P33" s="32"/>
      <c r="Q33" s="32"/>
      <c r="R33" s="16"/>
      <c r="S33" s="16"/>
      <c r="T33" s="16"/>
      <c r="U33" s="4"/>
      <c r="V33" s="281"/>
      <c r="W33" s="283" t="str">
        <f>"RPC minimum calculé + facteur personnel ("&amp;CTRL!H27&amp;") |  Facteur K"</f>
        <v>RPC minimum calculé + facteur personnel (5) |  Facteur K</v>
      </c>
      <c r="X33" s="274"/>
      <c r="Y33" s="21" t="e">
        <f>$AI$62+CTRL!H27</f>
        <v>#N/A</v>
      </c>
      <c r="Z33" s="21">
        <f>IF($Y$32&gt;0,$E$19*$E$20*$E$21*$E$22*$E$23*$E$24*$E$25,1)</f>
        <v>1</v>
      </c>
      <c r="AA33" s="232"/>
      <c r="AD33" s="269" t="str">
        <f>IF($W$57=1,$G$12,"Pas de yaourt")</f>
        <v>Pas de yaourt</v>
      </c>
      <c r="AE33" s="21">
        <f>IF($W$57=1,VLOOKUP($G$12,'OPT2'!$A$2:$AC$100,3,0),0)</f>
        <v>0</v>
      </c>
      <c r="AF33" s="21">
        <f>IF($W$57=1,VLOOKUP($G$12,'OPT2'!$A$2:$AC$100,4,0),0)</f>
        <v>0</v>
      </c>
      <c r="AG33" s="21">
        <f>IF($W$57=1,VLOOKUP($G$12,'OPT2'!$A$2:$AC$100,5,0),0)</f>
        <v>0</v>
      </c>
      <c r="AH33" s="21">
        <f>IF($W$57=1,VLOOKUP($G$12,'OPT2'!$A$2:$AC$100,6,0),0)</f>
        <v>0</v>
      </c>
      <c r="AI33" s="21">
        <f>IF($W$57=1,VLOOKUP($G$12,'OPT2'!$A$2:$AC$100,7,0),0)</f>
        <v>0</v>
      </c>
      <c r="AJ33" s="21">
        <f>IF($W$57=1,VLOOKUP($G$12,'OPT2'!$A$2:$AC$100,8,0)/1000,0)</f>
        <v>0</v>
      </c>
      <c r="AK33" s="21">
        <f>IF($W$57=1,VLOOKUP($G$12,'OPT2'!$A$2:$AC$100,9,0)/1000,0)</f>
        <v>0</v>
      </c>
      <c r="AL33" s="21">
        <f>IF($W$57=1,VLOOKUP($G$12,'OPT2'!$A$2:$AC$100,8,0)/1000,0)</f>
        <v>0</v>
      </c>
      <c r="AM33" s="21">
        <f>IF($W$57=1,VLOOKUP($G$12,'OPT2'!$A$2:$AC$100,9,0)/1000,0)</f>
        <v>0</v>
      </c>
      <c r="AN33" s="21">
        <f>IF($W$57=1,VLOOKUP($G$12,'OPT2'!$A$2:$AC$100,10,0),0)</f>
        <v>0</v>
      </c>
      <c r="AO33" s="21">
        <f>IF($W$57=1,VLOOKUP($G$12,'OPT2'!$A$2:$AC$100,11,0),0)</f>
        <v>0</v>
      </c>
      <c r="AP33" s="21">
        <f>IF($W$57=1,VLOOKUP($G$12,'OPT2'!$A$2:$AC$100,12,0),0)</f>
        <v>0</v>
      </c>
      <c r="AQ33" s="21">
        <f>IF($W$57=1,VLOOKUP($G$12,'OPT2'!$A$2:$AC$100,13,0),0)</f>
        <v>0</v>
      </c>
      <c r="AR33" s="21">
        <f>IF($W$57=1,VLOOKUP($G$12,'OPT2'!$A$2:$AC$100,14,0),0)</f>
        <v>0</v>
      </c>
      <c r="AS33" s="21">
        <f>IF($W$57=1,100-AE33-AF33-AG33-AH33-AI33,0)</f>
        <v>0</v>
      </c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57"/>
      <c r="BH33" s="21" t="s">
        <v>742</v>
      </c>
      <c r="BI33" s="21" t="s">
        <v>1111</v>
      </c>
      <c r="BJ33" s="21" t="e">
        <f>ROUNDUP(($BJ$39+$BJ$37+$BJ$37)/3,2)</f>
        <v>#N/A</v>
      </c>
      <c r="BK33" s="21"/>
      <c r="BL33" s="238"/>
      <c r="BM33" s="238"/>
      <c r="BN33" s="277"/>
      <c r="BO33" s="21"/>
      <c r="BP33" s="21"/>
      <c r="BQ33" s="21"/>
      <c r="BR33" s="21"/>
      <c r="BS33" s="21"/>
      <c r="BY33" s="265" t="s">
        <v>51</v>
      </c>
      <c r="BZ33" s="266">
        <v>1</v>
      </c>
      <c r="DH33" s="21">
        <f>HLS!$A32</f>
        <v>0</v>
      </c>
      <c r="DI33" s="21">
        <f>LGS!$A32</f>
        <v>0</v>
      </c>
      <c r="DJ33" s="21">
        <f>FCS!$A32</f>
        <v>0</v>
      </c>
      <c r="DK33" s="21" t="str">
        <f>VDS!$A32</f>
        <v>Poulet, viande de cuisse - CRUE</v>
      </c>
      <c r="DL33" s="264"/>
      <c r="DM33" s="21">
        <f>'OPT1'!$A32</f>
        <v>0</v>
      </c>
      <c r="DN33" s="21">
        <f>'OPT2'!$A32</f>
        <v>0</v>
      </c>
    </row>
    <row r="34" spans="1:118" ht="25.2" customHeight="1">
      <c r="A34" s="30"/>
      <c r="B34" s="167" t="s">
        <v>1051</v>
      </c>
      <c r="C34" s="168"/>
      <c r="D34" s="169"/>
      <c r="E34" s="29"/>
      <c r="F34" s="162" t="str">
        <f>IF($AA$55=15,"Taux d'humidité estimé : "&amp;$AI$44&amp;"%","")</f>
        <v/>
      </c>
      <c r="G34" s="163"/>
      <c r="H34" s="103" t="str">
        <f>IF($AA$55=15,"Rapport 9/6 : "&amp;ROUND($AP$40,2),"")</f>
        <v/>
      </c>
      <c r="I34" s="104" t="str">
        <f>IF($AA$55=15,"NaCl : "&amp;ROUND($AN$39,2)&amp;" g","")</f>
        <v/>
      </c>
      <c r="J34" s="103" t="str">
        <f>IF($AA$55=15,"P/Mcal BEE : "&amp;$AK$21,"")</f>
        <v/>
      </c>
      <c r="K34" s="105" t="str">
        <f>IF($AA$55=15,"[ cible "&amp;$AQ$47&amp;" à "&amp;$AQ$56&amp;" ]","")</f>
        <v/>
      </c>
      <c r="L34" s="106" t="str">
        <f>IF($AA$55=15,"Total  : "&amp;ROUND($Z$23,0)&amp;" kcal","")</f>
        <v/>
      </c>
      <c r="M34" s="32"/>
      <c r="N34" s="32"/>
      <c r="O34" s="32"/>
      <c r="P34" s="32"/>
      <c r="Q34" s="32"/>
      <c r="R34" s="16"/>
      <c r="S34" s="16"/>
      <c r="T34" s="16"/>
      <c r="U34" s="4"/>
      <c r="V34" s="281"/>
      <c r="W34" s="283" t="s">
        <v>1153</v>
      </c>
      <c r="X34" s="274"/>
      <c r="Y34" s="21" t="e">
        <f>ROUND($Y$33*$Z$32/1000,2)</f>
        <v>#N/A</v>
      </c>
      <c r="Z34" s="21">
        <f>$W$59+$W$63</f>
        <v>0</v>
      </c>
      <c r="AA34" s="232"/>
      <c r="AD34" s="269" t="str">
        <f>IF($I$8="","Pas de CMV",$AW$23)</f>
        <v>Pas de CMV</v>
      </c>
      <c r="AE34" s="21">
        <f>IF($I$8="",0,$AY$23)</f>
        <v>0</v>
      </c>
      <c r="AF34" s="21">
        <f>IF($I$8="",0,$AZ$23)</f>
        <v>0</v>
      </c>
      <c r="AG34" s="21">
        <f>IF($I$8="",0,$BA$23)</f>
        <v>0</v>
      </c>
      <c r="AH34" s="21">
        <f>IF($I$8="",0,$BB$23)</f>
        <v>0</v>
      </c>
      <c r="AI34" s="21">
        <f>IF($I$8="",0,$BC$23)</f>
        <v>0</v>
      </c>
      <c r="AJ34" s="21">
        <f>IF($I$8="",0,$BD$23/1000)</f>
        <v>0</v>
      </c>
      <c r="AK34" s="21">
        <f>IF($I$8="",0,$BE$23/1000)</f>
        <v>0</v>
      </c>
      <c r="AL34" s="284"/>
      <c r="AM34" s="284"/>
      <c r="AN34" s="21"/>
      <c r="AO34" s="21"/>
      <c r="AP34" s="21"/>
      <c r="AQ34" s="21"/>
      <c r="AR34" s="21"/>
      <c r="AS34" s="21">
        <f>IF($I$8="",0,$BR$23)</f>
        <v>0</v>
      </c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57"/>
      <c r="BH34" s="21" t="s">
        <v>743</v>
      </c>
      <c r="BI34" s="21" t="s">
        <v>1112</v>
      </c>
      <c r="BJ34" s="21" t="e">
        <f>ROUNDUP(($BJ$39+$BJ$37+$BJ$37-0.12)/3,2)</f>
        <v>#N/A</v>
      </c>
      <c r="BK34" s="21"/>
      <c r="BL34" s="21"/>
      <c r="BM34" s="277"/>
      <c r="BN34" s="277"/>
      <c r="BO34" s="21"/>
      <c r="BP34" s="21"/>
      <c r="BQ34" s="21"/>
      <c r="BR34" s="21"/>
      <c r="BS34" s="21"/>
      <c r="BY34" s="265" t="s">
        <v>634</v>
      </c>
      <c r="BZ34" s="266">
        <v>0.9</v>
      </c>
      <c r="DH34" s="21">
        <f>HLS!$A33</f>
        <v>0</v>
      </c>
      <c r="DI34" s="21">
        <f>LGS!$A33</f>
        <v>0</v>
      </c>
      <c r="DJ34" s="21">
        <f>FCS!$A33</f>
        <v>0</v>
      </c>
      <c r="DK34" s="21" t="str">
        <f>VDS!$A33</f>
        <v>Poulet, viande de cuisse - CUITE</v>
      </c>
      <c r="DL34" s="264"/>
      <c r="DM34" s="21">
        <f>'OPT1'!$A33</f>
        <v>0</v>
      </c>
      <c r="DN34" s="21">
        <f>'OPT2'!$A33</f>
        <v>0</v>
      </c>
    </row>
    <row r="35" spans="1:118" ht="18" customHeight="1" thickBot="1">
      <c r="A35" s="30"/>
      <c r="B35" s="107"/>
      <c r="C35" s="107"/>
      <c r="D35" s="107"/>
      <c r="E35" s="108"/>
      <c r="F35" s="107"/>
      <c r="G35" s="107"/>
      <c r="H35" s="107"/>
      <c r="I35" s="107"/>
      <c r="J35" s="107"/>
      <c r="K35" s="107"/>
      <c r="L35" s="107"/>
      <c r="M35" s="32"/>
      <c r="N35" s="32"/>
      <c r="O35" s="32"/>
      <c r="P35" s="32"/>
      <c r="Q35" s="32"/>
      <c r="R35" s="16"/>
      <c r="S35" s="16"/>
      <c r="T35" s="16"/>
      <c r="U35" s="4"/>
      <c r="V35" s="281"/>
      <c r="W35" s="283" t="str">
        <f>"RPC optimisé CCC + facteur personnel ("&amp;CTRL!H28&amp;")  |  BE - options kcal"</f>
        <v>RPC optimisé CCC + facteur personnel (5)  |  BE - options kcal</v>
      </c>
      <c r="X35" s="274"/>
      <c r="Y35" s="21" t="e">
        <f>IF($Y$33&gt;$Z$36,$Y$33,$Z$36)</f>
        <v>#N/A</v>
      </c>
      <c r="Z35" s="21">
        <f>ROUND($Z$32-$Z$34,0)</f>
        <v>1</v>
      </c>
      <c r="AA35" s="21">
        <f>CTRL!H27</f>
        <v>5</v>
      </c>
      <c r="AD35" s="269" t="str">
        <f>IF($I$11="","PAS DE VIANDES","*** MIXTE ***")</f>
        <v>PAS DE VIANDES</v>
      </c>
      <c r="AE35" s="21">
        <f t="shared" ref="AE35:AS35" si="2">AZ$14</f>
        <v>0</v>
      </c>
      <c r="AF35" s="21">
        <f t="shared" si="2"/>
        <v>0</v>
      </c>
      <c r="AG35" s="21">
        <f t="shared" si="2"/>
        <v>0</v>
      </c>
      <c r="AH35" s="21">
        <f t="shared" si="2"/>
        <v>0</v>
      </c>
      <c r="AI35" s="21">
        <f t="shared" si="2"/>
        <v>0</v>
      </c>
      <c r="AJ35" s="21">
        <f t="shared" si="2"/>
        <v>0</v>
      </c>
      <c r="AK35" s="21">
        <f t="shared" si="2"/>
        <v>0</v>
      </c>
      <c r="AL35" s="21">
        <f t="shared" si="2"/>
        <v>0</v>
      </c>
      <c r="AM35" s="21">
        <f t="shared" si="2"/>
        <v>0</v>
      </c>
      <c r="AN35" s="21">
        <f t="shared" si="2"/>
        <v>0</v>
      </c>
      <c r="AO35" s="21">
        <f t="shared" si="2"/>
        <v>0</v>
      </c>
      <c r="AP35" s="21">
        <f t="shared" si="2"/>
        <v>0</v>
      </c>
      <c r="AQ35" s="21">
        <f t="shared" si="2"/>
        <v>0</v>
      </c>
      <c r="AR35" s="21">
        <f t="shared" si="2"/>
        <v>0</v>
      </c>
      <c r="AS35" s="21">
        <f t="shared" si="2"/>
        <v>0</v>
      </c>
      <c r="AT35" s="21"/>
      <c r="AU35" s="21"/>
      <c r="AV35" s="21"/>
      <c r="BG35" s="21"/>
      <c r="BH35" s="21"/>
      <c r="BI35" s="21" t="s">
        <v>783</v>
      </c>
      <c r="BJ35" s="21" t="e">
        <f>IF($BJ$31&lt;1.0001,$BJ$32,IF($BJ$31&gt;1.9999,$BJ$34,$BJ$33))</f>
        <v>#N/A</v>
      </c>
      <c r="BM35" s="277"/>
      <c r="BN35" s="277"/>
      <c r="BY35" s="265" t="s">
        <v>738</v>
      </c>
      <c r="BZ35" s="266">
        <v>1</v>
      </c>
      <c r="DH35" s="21">
        <f>HLS!$A34</f>
        <v>0</v>
      </c>
      <c r="DI35" s="21">
        <f>LGS!$A34</f>
        <v>0</v>
      </c>
      <c r="DJ35" s="21">
        <f>FCS!$A34</f>
        <v>0</v>
      </c>
      <c r="DK35" s="21" t="str">
        <f>VDS!$A34</f>
        <v>Poulet, filet sans peau - CRU</v>
      </c>
      <c r="DL35" s="264"/>
      <c r="DM35" s="21">
        <f>'OPT1'!$A34</f>
        <v>0</v>
      </c>
      <c r="DN35" s="21">
        <f>'OPT2'!$A34</f>
        <v>0</v>
      </c>
    </row>
    <row r="36" spans="1:118" ht="25.2" customHeight="1">
      <c r="A36" s="30"/>
      <c r="B36" s="153" t="s">
        <v>1088</v>
      </c>
      <c r="C36" s="154"/>
      <c r="D36" s="115"/>
      <c r="E36" s="115"/>
      <c r="F36" s="115"/>
      <c r="G36" s="115"/>
      <c r="H36" s="115"/>
      <c r="I36" s="115"/>
      <c r="J36" s="115"/>
      <c r="K36" s="115"/>
      <c r="L36" s="116"/>
      <c r="M36" s="32"/>
      <c r="N36" s="32"/>
      <c r="O36" s="32"/>
      <c r="P36" s="32"/>
      <c r="Q36" s="32"/>
      <c r="R36" s="20"/>
      <c r="S36" s="140"/>
      <c r="T36" s="141"/>
      <c r="U36" s="141"/>
      <c r="V36" s="281"/>
      <c r="W36" s="283" t="s">
        <v>1154</v>
      </c>
      <c r="X36" s="274"/>
      <c r="Y36" s="21" t="e">
        <f>ROUND($Y$35*$Z$32/1000,2)</f>
        <v>#N/A</v>
      </c>
      <c r="Z36" s="21">
        <f>95+CTRL!H28</f>
        <v>100</v>
      </c>
      <c r="AA36" s="21">
        <f>CTRL!H28</f>
        <v>5</v>
      </c>
      <c r="AD36" s="269" t="str">
        <f>IF($I$12="","PAS DE LEGUMES",$I$12)</f>
        <v>PAS DE LEGUMES</v>
      </c>
      <c r="AE36" s="21">
        <f>IF($I$12="",0,VLOOKUP($I$12,LGS!$A$2:$AC$100,3,0))</f>
        <v>0</v>
      </c>
      <c r="AF36" s="21">
        <f>IF($I$12="",0,VLOOKUP($I$12,LGS!$A$2:$AC$100,4,0))</f>
        <v>0</v>
      </c>
      <c r="AG36" s="21">
        <f>IF($I$12="",0,VLOOKUP($I$12,LGS!$A$2:$AC$100,5,0))</f>
        <v>0</v>
      </c>
      <c r="AH36" s="21">
        <f>IF($I$12="",0,VLOOKUP($I$12,LGS!$A$2:$AC$100,6,0))</f>
        <v>0</v>
      </c>
      <c r="AI36" s="21">
        <f>IF($I$12="",0,VLOOKUP($I$12,LGS!$A$2:$AC$100,7,0))</f>
        <v>0</v>
      </c>
      <c r="AJ36" s="21">
        <f>IF($I$12="",0,VLOOKUP($I$12,LGS!$A$2:$AC$100,8,0)/1000)</f>
        <v>0</v>
      </c>
      <c r="AK36" s="21">
        <f>IF($I$12="",0,VLOOKUP($I$12,LGS!$A$2:$AC$100,9,0)/1000)</f>
        <v>0</v>
      </c>
      <c r="AL36" s="21">
        <f>IF($I$12="",0,VLOOKUP($I$12,LGS!$A$2:$AC$100,8,0)/1000)</f>
        <v>0</v>
      </c>
      <c r="AM36" s="21">
        <f>IF($I$12="",0,VLOOKUP($I$12,LGS!$A$2:$AC$100,9,0)/1000)</f>
        <v>0</v>
      </c>
      <c r="AN36" s="21">
        <f>IF($I$12="",0,VLOOKUP($I$12,LGS!$A$2:$AC$100,10,0))</f>
        <v>0</v>
      </c>
      <c r="AO36" s="21">
        <f>IF($I$12="",0,VLOOKUP($I$12,LGS!$A$2:$AC$100,11,0))</f>
        <v>0</v>
      </c>
      <c r="AP36" s="21">
        <f>IF($I$12="",0,VLOOKUP($I$12,LGS!$A$2:$AC$100,12,0))</f>
        <v>0</v>
      </c>
      <c r="AQ36" s="21">
        <f>IF($I$12="",0,VLOOKUP($I$12,LGS!$A$2:$AC$100,13,0))</f>
        <v>0</v>
      </c>
      <c r="AR36" s="21">
        <f>IF($I$12="",0,VLOOKUP($I$12,LGS!$A$2:$AC$100,14,0))</f>
        <v>0</v>
      </c>
      <c r="AS36" s="21">
        <f>IF($I$12="",0,100-AE36-AF36-AG36-AH36-AI36)</f>
        <v>0</v>
      </c>
      <c r="AT36" s="21"/>
      <c r="AU36" s="21"/>
      <c r="AV36" s="21"/>
      <c r="AZ36" s="21"/>
      <c r="BA36" s="21"/>
      <c r="BB36" s="21"/>
      <c r="BC36" s="21"/>
      <c r="BD36" s="21"/>
      <c r="BE36" s="21"/>
      <c r="BF36" s="285" t="s">
        <v>991</v>
      </c>
      <c r="BG36" s="286"/>
      <c r="BH36" s="286"/>
      <c r="BI36" s="21"/>
      <c r="BJ36" s="21"/>
      <c r="BK36" s="21"/>
      <c r="BL36" s="277"/>
      <c r="BM36" s="277"/>
      <c r="BN36" s="277"/>
      <c r="BY36" s="265" t="s">
        <v>635</v>
      </c>
      <c r="BZ36" s="266">
        <v>1</v>
      </c>
      <c r="DH36" s="21">
        <f>HLS!$A35</f>
        <v>0</v>
      </c>
      <c r="DI36" s="21">
        <f>LGS!$A35</f>
        <v>0</v>
      </c>
      <c r="DJ36" s="21">
        <f>FCS!$A35</f>
        <v>0</v>
      </c>
      <c r="DK36" s="21" t="str">
        <f>VDS!$A35</f>
        <v>Poulet, filet sans peau - CUIT</v>
      </c>
      <c r="DL36" s="264"/>
      <c r="DM36" s="21">
        <f>'OPT1'!$A35</f>
        <v>0</v>
      </c>
      <c r="DN36" s="21">
        <f>'OPT2'!$A35</f>
        <v>0</v>
      </c>
    </row>
    <row r="37" spans="1:118" ht="25.2" customHeight="1">
      <c r="A37" s="35"/>
      <c r="B37" s="155"/>
      <c r="C37" s="156"/>
      <c r="D37" s="117"/>
      <c r="E37" s="118"/>
      <c r="F37" s="118"/>
      <c r="G37" s="118"/>
      <c r="H37" s="2"/>
      <c r="I37" s="2"/>
      <c r="J37" s="2"/>
      <c r="K37" s="2"/>
      <c r="L37" s="119"/>
      <c r="M37" s="32"/>
      <c r="N37" s="32"/>
      <c r="O37" s="32"/>
      <c r="P37" s="32"/>
      <c r="Q37" s="32"/>
      <c r="R37" s="20"/>
      <c r="S37" s="142"/>
      <c r="T37" s="143"/>
      <c r="U37" s="247"/>
      <c r="AD37" s="269" t="str">
        <f>IF($I$13="","PAS DE FECULENTS",$I$13)</f>
        <v>PAS DE FECULENTS</v>
      </c>
      <c r="AE37" s="21">
        <f>IF($I$13="",0,VLOOKUP($I$13,FCS!$A$2:$AC$100,3,0))</f>
        <v>0</v>
      </c>
      <c r="AF37" s="21">
        <f>IF($I$13="",0,VLOOKUP($I$13,FCS!$A$2:$AC$100,4,0))</f>
        <v>0</v>
      </c>
      <c r="AG37" s="21">
        <f>IF($I$13="",0,VLOOKUP($I$13,FCS!$A$2:$AC$100,5,0))</f>
        <v>0</v>
      </c>
      <c r="AH37" s="21">
        <f>IF($I$13="",0,VLOOKUP($I$13,FCS!$A$2:$AC$100,6,0))</f>
        <v>0</v>
      </c>
      <c r="AI37" s="21">
        <f>IF($I$13="",0,VLOOKUP($I$13,FCS!$A$2:$AC$100,7,0))</f>
        <v>0</v>
      </c>
      <c r="AJ37" s="21">
        <f>IF($I$13="",0,VLOOKUP($I$13,FCS!$A$2:$AC$100,8,0)/1000)</f>
        <v>0</v>
      </c>
      <c r="AK37" s="21">
        <f>IF($I$13="",0,VLOOKUP($I$13,FCS!$A$2:$AC$100,9,0)/1000)</f>
        <v>0</v>
      </c>
      <c r="AL37" s="21">
        <f>IF($I$13="",0,VLOOKUP($I$13,FCS!$A$2:$AC$100,8,0)/1000)</f>
        <v>0</v>
      </c>
      <c r="AM37" s="21">
        <f>IF($I$13="",0,VLOOKUP($I$13,FCS!$A$2:$AC$100,9,0)/1000)</f>
        <v>0</v>
      </c>
      <c r="AN37" s="21">
        <f>IF($I$13="",0,VLOOKUP($I$13,FCS!$A$2:$AC$100,10,0))</f>
        <v>0</v>
      </c>
      <c r="AO37" s="21">
        <f>IF($I$13="",0,VLOOKUP($I$13,FCS!$A$2:$AC$100,11,0))</f>
        <v>0</v>
      </c>
      <c r="AP37" s="21">
        <f>IF($I$13="",0,VLOOKUP($I$13,FCS!$A$2:$AC$100,12,0))</f>
        <v>0</v>
      </c>
      <c r="AQ37" s="21">
        <f>IF($I$13="",0,VLOOKUP($I$13,FCS!$A$2:$AC$100,13,0))</f>
        <v>0</v>
      </c>
      <c r="AR37" s="21">
        <f>IF($I$13="",0,VLOOKUP($I$13,FCS!$A$2:$AC$100,14,0))</f>
        <v>0</v>
      </c>
      <c r="AS37" s="21">
        <f>IF($I$13="",0,100-AE37-AF37-AG37-AH37-AI37)</f>
        <v>0</v>
      </c>
      <c r="AT37" s="21"/>
      <c r="AU37" s="21"/>
      <c r="AV37" s="21"/>
      <c r="AZ37" s="21"/>
      <c r="BA37" s="21"/>
      <c r="BB37" s="21"/>
      <c r="BC37" s="21"/>
      <c r="BD37" s="21"/>
      <c r="BE37" s="21"/>
      <c r="BF37" s="286"/>
      <c r="BG37" s="286"/>
      <c r="BH37" s="286"/>
      <c r="BI37" s="21" t="s">
        <v>780</v>
      </c>
      <c r="BJ37" s="21" t="e">
        <f>$BM$20</f>
        <v>#N/A</v>
      </c>
      <c r="BK37" s="21"/>
      <c r="BL37" s="277"/>
      <c r="BM37" s="277"/>
      <c r="BN37" s="277"/>
      <c r="BY37" s="265" t="s">
        <v>52</v>
      </c>
      <c r="BZ37" s="266">
        <v>1</v>
      </c>
      <c r="DH37" s="21">
        <f>HLS!$A36</f>
        <v>0</v>
      </c>
      <c r="DI37" s="21">
        <f>LGS!$A36</f>
        <v>0</v>
      </c>
      <c r="DJ37" s="21">
        <f>FCS!$A36</f>
        <v>0</v>
      </c>
      <c r="DK37" s="21" t="str">
        <f>VDS!$A36</f>
        <v>Veau, collier - CRU</v>
      </c>
      <c r="DL37" s="264"/>
      <c r="DM37" s="21">
        <f>'OPT1'!$A36</f>
        <v>0</v>
      </c>
      <c r="DN37" s="21">
        <f>'OPT2'!$A36</f>
        <v>0</v>
      </c>
    </row>
    <row r="38" spans="1:118" ht="25.2" customHeight="1">
      <c r="A38" s="35"/>
      <c r="B38" s="120"/>
      <c r="C38" s="2"/>
      <c r="D38" s="2"/>
      <c r="E38" s="2"/>
      <c r="F38" s="2"/>
      <c r="G38" s="2"/>
      <c r="H38" s="2"/>
      <c r="I38" s="2"/>
      <c r="J38" s="2"/>
      <c r="K38" s="2"/>
      <c r="L38" s="119"/>
      <c r="M38" s="29"/>
      <c r="N38" s="29"/>
      <c r="O38" s="29"/>
      <c r="P38" s="29"/>
      <c r="Q38" s="29"/>
      <c r="R38" s="20"/>
      <c r="S38" s="142"/>
      <c r="T38" s="144" t="s">
        <v>380</v>
      </c>
      <c r="U38" s="247"/>
      <c r="Z38" s="232" t="s">
        <v>133</v>
      </c>
      <c r="AA38" s="232"/>
      <c r="AD38" s="269" t="str">
        <f>IF($I$14="","PAS D'HUILE",$I$14)</f>
        <v>PAS D'HUILE</v>
      </c>
      <c r="AE38" s="21">
        <f>IF($I$14="",0,VLOOKUP($I$14,HLS!$A$2:$AC$100,3,0))</f>
        <v>0</v>
      </c>
      <c r="AF38" s="21">
        <f>IF($I$14="",0,VLOOKUP($I$14,HLS!$A$2:$AC$100,4,0))</f>
        <v>0</v>
      </c>
      <c r="AG38" s="21">
        <f>IF($I$14="",0,VLOOKUP($I$14,HLS!$A$2:$AC$100,5,0))</f>
        <v>0</v>
      </c>
      <c r="AH38" s="21">
        <f>IF($I$14="",0,VLOOKUP($I$14,HLS!$A$2:$AC$100,6,0))</f>
        <v>0</v>
      </c>
      <c r="AI38" s="21">
        <f>IF($I$14="",0,VLOOKUP($I$14,HLS!$A$2:$AC$100,7,0))</f>
        <v>0</v>
      </c>
      <c r="AJ38" s="21">
        <f>IF($I$14="",0,VLOOKUP($I$14,HLS!$A$2:$AC$100,8,0)/1000)</f>
        <v>0</v>
      </c>
      <c r="AK38" s="21">
        <f>IF($I$14="",0,VLOOKUP($I$14,HLS!$A$2:$AC$100,9,0)/1000)</f>
        <v>0</v>
      </c>
      <c r="AL38" s="21">
        <f>IF($I$14="",0,VLOOKUP($I$14,HLS!$A$2:$AC$100,8,0)/1000)</f>
        <v>0</v>
      </c>
      <c r="AM38" s="21">
        <f>IF($I$14="",0,VLOOKUP($I$14,HLS!$A$2:$AC$100,9,0)/1000)</f>
        <v>0</v>
      </c>
      <c r="AN38" s="21">
        <f>IF($I$14="",0,VLOOKUP($I$14,HLS!$A$2:$AC$100,10,0))</f>
        <v>0</v>
      </c>
      <c r="AO38" s="21">
        <f>IF($I$14="",0,VLOOKUP($I$14,HLS!$A$2:$AC$100,11,0))</f>
        <v>0</v>
      </c>
      <c r="AP38" s="21">
        <f>IF($I$14="",0,VLOOKUP($I$14,HLS!$A$2:$AC$100,12,0))</f>
        <v>0</v>
      </c>
      <c r="AQ38" s="21">
        <f>IF($I$14="",0,VLOOKUP($I$14,HLS!$A$2:$AC$100,13,0))</f>
        <v>0</v>
      </c>
      <c r="AR38" s="21">
        <f>IF($I$14="",0,VLOOKUP($I$14,HLS!$A$2:$AC$100,14,0))</f>
        <v>0</v>
      </c>
      <c r="AS38" s="21">
        <f>IF($I$14="",0,100-AE38-AF38-AG38-AH38-AI38)</f>
        <v>0</v>
      </c>
      <c r="AT38" s="21"/>
      <c r="AU38" s="21"/>
      <c r="AV38" s="21"/>
      <c r="AZ38" s="232"/>
      <c r="BA38" s="232"/>
      <c r="BB38" s="232"/>
      <c r="BC38" s="232"/>
      <c r="BD38" s="232"/>
      <c r="BE38" s="232"/>
      <c r="BF38" s="286"/>
      <c r="BG38" s="286"/>
      <c r="BH38" s="286"/>
      <c r="BI38" s="21" t="s">
        <v>778</v>
      </c>
      <c r="BJ38" s="21" t="e">
        <f>$AQ$52</f>
        <v>#N/A</v>
      </c>
      <c r="BK38" s="21"/>
      <c r="BL38" s="21"/>
      <c r="BP38" s="243" t="s">
        <v>390</v>
      </c>
      <c r="BQ38" s="238"/>
      <c r="BR38" s="238"/>
      <c r="BS38" s="238"/>
      <c r="BT38" s="238"/>
      <c r="BU38" s="238"/>
      <c r="BY38" s="265" t="s">
        <v>636</v>
      </c>
      <c r="BZ38" s="266">
        <v>0.9</v>
      </c>
      <c r="DH38" s="21">
        <f>HLS!$A37</f>
        <v>0</v>
      </c>
      <c r="DI38" s="21">
        <f>LGS!$A37</f>
        <v>0</v>
      </c>
      <c r="DJ38" s="21">
        <f>FCS!$A37</f>
        <v>0</v>
      </c>
      <c r="DK38" s="21" t="str">
        <f>VDS!$A37</f>
        <v>Veau, collier - CUIT</v>
      </c>
      <c r="DL38" s="264"/>
      <c r="DM38" s="21">
        <f>'OPT1'!$A37</f>
        <v>0</v>
      </c>
      <c r="DN38" s="21">
        <f>'OPT2'!$A37</f>
        <v>0</v>
      </c>
    </row>
    <row r="39" spans="1:118" ht="25.2" customHeight="1">
      <c r="A39" s="35"/>
      <c r="B39" s="120"/>
      <c r="C39" s="2"/>
      <c r="D39" s="2"/>
      <c r="E39" s="121"/>
      <c r="F39" s="122" t="s">
        <v>1089</v>
      </c>
      <c r="G39" s="121"/>
      <c r="H39" s="121"/>
      <c r="I39" s="121"/>
      <c r="J39" s="121"/>
      <c r="K39" s="121"/>
      <c r="L39" s="123"/>
      <c r="M39" s="29"/>
      <c r="N39" s="29"/>
      <c r="O39" s="29"/>
      <c r="P39" s="29"/>
      <c r="Q39" s="29"/>
      <c r="R39" s="20"/>
      <c r="S39" s="142"/>
      <c r="T39" s="144" t="s">
        <v>1052</v>
      </c>
      <c r="U39" s="247"/>
      <c r="Z39" s="240" t="s">
        <v>1062</v>
      </c>
      <c r="AA39" s="240">
        <f>IF(ISNUMBER($C$15),IF($C$15&gt;0,1,0),0)</f>
        <v>0</v>
      </c>
      <c r="AB39" s="240"/>
      <c r="AD39" s="21" t="s">
        <v>14</v>
      </c>
      <c r="AE39" s="21" t="e">
        <f>($AZ$18*AE$35/100)+($W$24*AE$36/100)+($W$25*AE$37/100)+($W$26*AE$38/100)+($W$27*AE$34/100)+($W$58*$AE$33/100)+($W$64*$AE$32/100)</f>
        <v>#N/A</v>
      </c>
      <c r="AF39" s="21" t="e">
        <f>($AZ$18*AF$35/100)+($W$24*AF$36/100)+($W$25*AF$37/100)+($W$26*AF$38/100)+($W$27*AF$34/100)+($W$58*$AF$33/100)+($W$64*$AF$32/100)</f>
        <v>#N/A</v>
      </c>
      <c r="AG39" s="21" t="e">
        <f>($AZ$18*AG$35/100)+($W$24*AG$36/100)+($W$25*AG$37/100)+($W$26*AG$38/100)+($W$27*AG$34/100)+($W$58*$AG$33/100)+($W$64*$AG$32/100)</f>
        <v>#N/A</v>
      </c>
      <c r="AH39" s="21" t="e">
        <f>($AZ$18*AH$35/100)+($W$24*AH$36/100)+($W$25*AH$37/100)+($W$26*AH$38/100)+($W$27*AH$34/100)+($W$58*$AH$33/100)+($W$64*$AH$32/100)</f>
        <v>#N/A</v>
      </c>
      <c r="AI39" s="21" t="e">
        <f>($AZ$18*AI$35/100)+($W$24*AI$36/100)+($W$25*AI$37/100)+($W$26*AI$38/100)+($W$27*AI$34/100)+($W$58*$AI$33/100)+($W$64*$AI$32/100)</f>
        <v>#N/A</v>
      </c>
      <c r="AJ39" s="21" t="e">
        <f>($AZ$18*AJ$35/100)+($W$24*AJ$36/100)+($W$25*AJ$37/100)+($W$26*AJ$38/100)+($W$27*AJ$34/100)+($W$58*$AJ$33/100)+($W$64*$AJ$32/100)</f>
        <v>#N/A</v>
      </c>
      <c r="AK39" s="21" t="e">
        <f>($AZ$18*AK$35/100)+($W$24*AK$36/100)+($W$25*AK$37/100)+($W$26*AK$38/100)+($W$27*AK$34/100)+($W$58*$AK$33/100)+($W$64*$AK$32/100)</f>
        <v>#N/A</v>
      </c>
      <c r="AL39" s="21" t="e">
        <f>($AZ$18*AL$35/100)+($W$24*AL$36/100)+($W$25*AL$37/100)+($W$26*AL$38/100)+($W$58*$AL$33/100)+($W$64*$AL$32/100)</f>
        <v>#N/A</v>
      </c>
      <c r="AM39" s="21" t="e">
        <f>($AZ$18*AM$35/100)+($W$24*AM$36/100)+($W$25*AM$37/100)+($W$26*AM$38/100)+($W$58*$AM$33/100)+($W$64*$AM$32/100)</f>
        <v>#N/A</v>
      </c>
      <c r="AN39" s="21" t="e">
        <f>($AZ$18*AN$35/100)+($W$24*AN$36/100)+($W$25*AN$37/100)+($W$26*AN$38/100)+($W$58*$AN$33/100)+($W$64*$AN$32/100)</f>
        <v>#N/A</v>
      </c>
      <c r="AO39" s="21" t="e">
        <f>($AZ$18*AO$35/100)+($W$24*AO$36/100)+($W$25*AO$37/100)+($W$26*AO$38/100)+($W$58*$AO$33/100)+($W$64*$AO$32/100)</f>
        <v>#N/A</v>
      </c>
      <c r="AP39" s="21" t="e">
        <f>($AZ$18*AP$35/100)+($W$24*AP$36/100)+($W$25*AP$37/100)+($W$26*AP$38/100)+($W$58*$AP$33/100)+($W$64*$AP$32/100)</f>
        <v>#N/A</v>
      </c>
      <c r="AQ39" s="21" t="e">
        <f>($AZ$18*AQ$35/100)+($W$24*AQ$36/100)+($W$25*AQ$37/100)+($W$26*AQ$38/100)+($W$58*$AQ$33/100)+($W$64*$AQ$32/100)</f>
        <v>#N/A</v>
      </c>
      <c r="AR39" s="21" t="e">
        <f>($AZ$18*AR$35/100)+($W$24*AR$36/100)+($W$25*AR$37/100)+($W$26*AR$38/100)+($W$58*$AR$33/100)+($W$64*$AR$32/100)</f>
        <v>#N/A</v>
      </c>
      <c r="AS39" s="21" t="e">
        <f>($AZ$18*AS$35/100)+($W$24*AS$36/100)+($W$25*AS$37/100)+($W$58*$AS$33/100)+($W$64*$AS$32/100)+($W$27*$AS$34/100)+($W$26*$AS$38/100)</f>
        <v>#N/A</v>
      </c>
      <c r="AT39" s="21"/>
      <c r="AU39" s="21"/>
      <c r="AV39" s="21"/>
      <c r="AZ39" s="232"/>
      <c r="BA39" s="232"/>
      <c r="BB39" s="232"/>
      <c r="BC39" s="232"/>
      <c r="BD39" s="232"/>
      <c r="BE39" s="232"/>
      <c r="BF39" s="286"/>
      <c r="BG39" s="286"/>
      <c r="BH39" s="286"/>
      <c r="BI39" s="21" t="s">
        <v>779</v>
      </c>
      <c r="BJ39" s="21" t="e">
        <f>$AQ$49</f>
        <v>#N/A</v>
      </c>
      <c r="BK39" s="21"/>
      <c r="BL39" s="21"/>
      <c r="BP39" s="238"/>
      <c r="BQ39" s="238"/>
      <c r="BR39" s="238"/>
      <c r="BS39" s="238"/>
      <c r="BT39" s="238"/>
      <c r="BU39" s="238"/>
      <c r="BY39" s="265" t="s">
        <v>637</v>
      </c>
      <c r="BZ39" s="266">
        <v>0.8</v>
      </c>
      <c r="CB39" s="232" t="s">
        <v>122</v>
      </c>
      <c r="CC39" s="232"/>
      <c r="CD39" s="21" t="s">
        <v>281</v>
      </c>
      <c r="CE39" s="21" t="s">
        <v>282</v>
      </c>
      <c r="CG39" s="232" t="s">
        <v>159</v>
      </c>
      <c r="CH39" s="232"/>
      <c r="CI39" s="21" t="s">
        <v>283</v>
      </c>
      <c r="CJ39" s="21" t="s">
        <v>284</v>
      </c>
      <c r="CK39" s="262"/>
      <c r="DH39" s="21">
        <f>HLS!$A38</f>
        <v>0</v>
      </c>
      <c r="DI39" s="21">
        <f>LGS!$A38</f>
        <v>0</v>
      </c>
      <c r="DJ39" s="21">
        <f>FCS!$A38</f>
        <v>0</v>
      </c>
      <c r="DK39" s="21" t="str">
        <f>VDS!$A38</f>
        <v>Veau, escalope - CRUE</v>
      </c>
      <c r="DL39" s="264"/>
      <c r="DM39" s="21">
        <f>'OPT1'!$A38</f>
        <v>0</v>
      </c>
      <c r="DN39" s="21">
        <f>'OPT2'!$A38</f>
        <v>0</v>
      </c>
    </row>
    <row r="40" spans="1:118" ht="25.2" customHeight="1">
      <c r="A40" s="35"/>
      <c r="B40" s="124"/>
      <c r="E40" s="125"/>
      <c r="F40" s="126" t="s">
        <v>1018</v>
      </c>
      <c r="G40" s="3"/>
      <c r="H40" s="3"/>
      <c r="I40" s="3"/>
      <c r="J40" s="3"/>
      <c r="K40" s="176" t="s">
        <v>1092</v>
      </c>
      <c r="L40" s="177"/>
      <c r="M40" s="29"/>
      <c r="N40" s="29"/>
      <c r="O40" s="29"/>
      <c r="P40" s="29"/>
      <c r="Q40" s="29"/>
      <c r="R40" s="20"/>
      <c r="S40" s="145"/>
      <c r="T40" s="146" t="s">
        <v>997</v>
      </c>
      <c r="U40" s="247"/>
      <c r="W40" s="241" t="s">
        <v>173</v>
      </c>
      <c r="X40" s="238"/>
      <c r="Z40" s="240" t="s">
        <v>1063</v>
      </c>
      <c r="AA40" s="240">
        <f>IF($C$19&gt;0,1,0)</f>
        <v>0</v>
      </c>
      <c r="AB40" s="240"/>
      <c r="AD40" s="21" t="s">
        <v>37</v>
      </c>
      <c r="AE40" s="21" t="e">
        <f>($AZ$18*AE$35/100)+($W$58*$AE$33/100)+($W$64*$AE$32/100)</f>
        <v>#N/A</v>
      </c>
      <c r="AI40" s="232" t="s">
        <v>27</v>
      </c>
      <c r="AJ40" s="284" t="e">
        <f>ROUND($AJ$39/$AK$39,2)</f>
        <v>#N/A</v>
      </c>
      <c r="AK40" s="284"/>
      <c r="AL40" s="284" t="e">
        <f>ROUND($AL$39/$AM$39,2)</f>
        <v>#N/A</v>
      </c>
      <c r="AM40" s="284"/>
      <c r="AO40" s="21" t="e">
        <f>IF(AG39=0,0,AO39*100/AG39)</f>
        <v>#N/A</v>
      </c>
      <c r="AP40" s="21" t="e">
        <f>IF(AQ39&gt;0,AP39/AQ39,0)</f>
        <v>#N/A</v>
      </c>
      <c r="AQ40" s="21" t="s">
        <v>129</v>
      </c>
      <c r="AR40" s="21" t="e">
        <f>IF(AR39&gt;0,AQ39/AR39,0)</f>
        <v>#N/A</v>
      </c>
      <c r="AS40" s="21"/>
      <c r="AT40" s="21"/>
      <c r="AU40" s="21"/>
      <c r="AV40" s="21"/>
      <c r="AZ40" s="232"/>
      <c r="BA40" s="232"/>
      <c r="BB40" s="232"/>
      <c r="BC40" s="232"/>
      <c r="BD40" s="232"/>
      <c r="BE40" s="232"/>
      <c r="BF40" s="286"/>
      <c r="BG40" s="286"/>
      <c r="BH40" s="286"/>
      <c r="BI40" s="243" t="s">
        <v>781</v>
      </c>
      <c r="BJ40" s="243"/>
      <c r="BK40" s="21"/>
      <c r="BL40" s="21"/>
      <c r="BY40" s="265" t="s">
        <v>638</v>
      </c>
      <c r="BZ40" s="266">
        <v>1</v>
      </c>
      <c r="CB40" s="240" t="s">
        <v>109</v>
      </c>
      <c r="CC40" s="21">
        <v>1</v>
      </c>
      <c r="CD40" s="21">
        <v>0</v>
      </c>
      <c r="CE40" s="21">
        <v>0</v>
      </c>
      <c r="CG40" s="240" t="s">
        <v>112</v>
      </c>
      <c r="CH40" s="21">
        <v>1</v>
      </c>
      <c r="CI40" s="21">
        <v>0</v>
      </c>
      <c r="CJ40" s="21">
        <v>0</v>
      </c>
      <c r="CK40" s="262"/>
      <c r="DH40" s="21">
        <f>HLS!$A39</f>
        <v>0</v>
      </c>
      <c r="DI40" s="21">
        <f>LGS!$A39</f>
        <v>0</v>
      </c>
      <c r="DJ40" s="21">
        <f>FCS!$A39</f>
        <v>0</v>
      </c>
      <c r="DK40" s="21" t="str">
        <f>VDS!$A39</f>
        <v>Veau, escalope - CUITE</v>
      </c>
      <c r="DL40" s="264"/>
      <c r="DM40" s="21">
        <f>'OPT1'!$A39</f>
        <v>0</v>
      </c>
      <c r="DN40" s="21">
        <f>'OPT2'!$A39</f>
        <v>0</v>
      </c>
    </row>
    <row r="41" spans="1:118" ht="25.2" customHeight="1">
      <c r="A41" s="35"/>
      <c r="B41" s="124"/>
      <c r="E41" s="125"/>
      <c r="F41" s="126" t="s">
        <v>1019</v>
      </c>
      <c r="G41" s="3"/>
      <c r="H41" s="3"/>
      <c r="I41" s="3"/>
      <c r="J41" s="3"/>
      <c r="K41" s="127"/>
      <c r="L41" s="128"/>
      <c r="M41" s="29"/>
      <c r="N41" s="29"/>
      <c r="O41" s="29"/>
      <c r="P41" s="29"/>
      <c r="Q41" s="29"/>
      <c r="R41" s="20"/>
      <c r="S41" s="145"/>
      <c r="T41" s="144"/>
      <c r="U41" s="247"/>
      <c r="W41" s="238"/>
      <c r="X41" s="238"/>
      <c r="Z41" s="240" t="s">
        <v>1064</v>
      </c>
      <c r="AA41" s="240">
        <f>IF($C$20&gt;0,1,0)</f>
        <v>0</v>
      </c>
      <c r="AB41" s="240"/>
      <c r="AD41" s="21" t="s">
        <v>38</v>
      </c>
      <c r="AE41" s="21" t="e">
        <f>($W$24*AE$36/100)+($W$25*AE$37/100)+($W$26*AE$38/100)+($W$27*AE$34/100)</f>
        <v>#N/A</v>
      </c>
      <c r="AF41" s="275" t="str">
        <f>"----&gt;"</f>
        <v>----&gt;</v>
      </c>
      <c r="AG41" s="21" t="s">
        <v>213</v>
      </c>
      <c r="AI41" s="238"/>
      <c r="AJ41" s="232" t="s">
        <v>158</v>
      </c>
      <c r="AK41" s="232"/>
      <c r="AL41" s="232" t="s">
        <v>157</v>
      </c>
      <c r="AM41" s="232"/>
      <c r="AO41" s="21" t="s">
        <v>41</v>
      </c>
      <c r="AP41" s="21" t="s">
        <v>216</v>
      </c>
      <c r="AQ41" s="287"/>
      <c r="AT41" s="21"/>
      <c r="AW41" s="249"/>
      <c r="AZ41" s="232"/>
      <c r="BA41" s="232"/>
      <c r="BB41" s="232"/>
      <c r="BC41" s="232"/>
      <c r="BD41" s="232"/>
      <c r="BE41" s="232"/>
      <c r="BF41" s="232"/>
      <c r="BG41" s="232"/>
      <c r="BH41" s="21"/>
      <c r="BI41" s="21"/>
      <c r="BJ41" s="21"/>
      <c r="BK41" s="21"/>
      <c r="BL41" s="21"/>
      <c r="BP41" s="243" t="s">
        <v>321</v>
      </c>
      <c r="BQ41" s="238"/>
      <c r="BR41" s="238"/>
      <c r="BS41" s="238"/>
      <c r="BT41" s="238"/>
      <c r="BU41" s="238"/>
      <c r="BY41" s="265" t="s">
        <v>639</v>
      </c>
      <c r="BZ41" s="266">
        <v>1</v>
      </c>
      <c r="CB41" s="240" t="s">
        <v>120</v>
      </c>
      <c r="CC41" s="21">
        <v>0.9</v>
      </c>
      <c r="CD41" s="21">
        <v>2</v>
      </c>
      <c r="CE41" s="21">
        <v>-3</v>
      </c>
      <c r="CG41" s="240" t="s">
        <v>113</v>
      </c>
      <c r="CH41" s="21">
        <v>0.8</v>
      </c>
      <c r="CI41" s="21">
        <v>1</v>
      </c>
      <c r="CJ41" s="21">
        <v>-1</v>
      </c>
      <c r="CK41" s="262"/>
      <c r="DH41" s="21">
        <f>HLS!$A40</f>
        <v>0</v>
      </c>
      <c r="DI41" s="21">
        <f>LGS!$A40</f>
        <v>0</v>
      </c>
      <c r="DJ41" s="21">
        <f>FCS!$A40</f>
        <v>0</v>
      </c>
      <c r="DK41" s="21" t="str">
        <f>VDS!$A40</f>
        <v>Pavé de cabillaud - CUIT</v>
      </c>
      <c r="DL41" s="264"/>
      <c r="DM41" s="21">
        <f>'OPT1'!$A40</f>
        <v>0</v>
      </c>
      <c r="DN41" s="21">
        <f>'OPT2'!$A40</f>
        <v>0</v>
      </c>
    </row>
    <row r="42" spans="1:118" ht="25.2" customHeight="1">
      <c r="A42" s="35"/>
      <c r="B42" s="124"/>
      <c r="E42" s="129"/>
      <c r="F42" s="126" t="s">
        <v>1020</v>
      </c>
      <c r="G42" s="3"/>
      <c r="H42" s="3"/>
      <c r="I42" s="3"/>
      <c r="J42" s="3"/>
      <c r="K42" s="3"/>
      <c r="L42" s="128"/>
      <c r="M42" s="29"/>
      <c r="N42" s="29"/>
      <c r="O42" s="29"/>
      <c r="P42" s="29"/>
      <c r="Q42" s="29"/>
      <c r="R42" s="20"/>
      <c r="S42" s="145"/>
      <c r="T42" s="144" t="s">
        <v>382</v>
      </c>
      <c r="U42" s="247"/>
      <c r="W42" s="238"/>
      <c r="X42" s="238"/>
      <c r="Z42" s="240" t="s">
        <v>1065</v>
      </c>
      <c r="AA42" s="240">
        <f>IF($AJ$11=1,1,IF($C$21&gt;0,1,0))</f>
        <v>0</v>
      </c>
      <c r="AB42" s="240"/>
      <c r="AD42" s="21" t="s">
        <v>39</v>
      </c>
      <c r="AE42" s="21" t="e">
        <f>AE40*100/AE39</f>
        <v>#N/A</v>
      </c>
      <c r="AG42" s="21" t="e">
        <f>AE40+AE41</f>
        <v>#N/A</v>
      </c>
      <c r="AQ42" s="230"/>
      <c r="AT42" s="21"/>
      <c r="AW42" s="21"/>
      <c r="AX42" s="21"/>
      <c r="AY42" s="21"/>
      <c r="AZ42" s="232"/>
      <c r="BA42" s="232"/>
      <c r="BB42" s="232"/>
      <c r="BC42" s="232"/>
      <c r="BD42" s="232"/>
      <c r="BE42" s="232"/>
      <c r="BF42" s="232"/>
      <c r="BG42" s="232"/>
      <c r="BH42" s="21"/>
      <c r="BI42" s="21"/>
      <c r="BJ42" s="21"/>
      <c r="BK42" s="21"/>
      <c r="BL42" s="21"/>
      <c r="BP42" s="240" t="str">
        <f>CMV!$A$10</f>
        <v>Vit'i5 Orange (pot 600g)</v>
      </c>
      <c r="BQ42" s="286"/>
      <c r="BR42" s="286"/>
      <c r="BS42" s="286"/>
      <c r="BT42" s="286"/>
      <c r="BU42" s="286"/>
      <c r="BY42" s="265" t="s">
        <v>53</v>
      </c>
      <c r="BZ42" s="266">
        <v>1</v>
      </c>
      <c r="CB42" s="240" t="s">
        <v>160</v>
      </c>
      <c r="CC42" s="21">
        <v>0.8</v>
      </c>
      <c r="CD42" s="21">
        <v>4</v>
      </c>
      <c r="CE42" s="21">
        <v>-5</v>
      </c>
      <c r="CG42" s="240" t="s">
        <v>114</v>
      </c>
      <c r="CH42" s="21">
        <v>0.8</v>
      </c>
      <c r="CI42" s="21">
        <v>1</v>
      </c>
      <c r="CJ42" s="21">
        <v>-1</v>
      </c>
      <c r="CK42" s="262"/>
      <c r="DH42" s="21">
        <f>HLS!$A41</f>
        <v>0</v>
      </c>
      <c r="DI42" s="21">
        <f>LGS!$A41</f>
        <v>0</v>
      </c>
      <c r="DJ42" s="21">
        <f>FCS!$A41</f>
        <v>0</v>
      </c>
      <c r="DK42" s="21" t="str">
        <f>VDS!$A41</f>
        <v>Pavé de colin - CUIT</v>
      </c>
      <c r="DL42" s="264"/>
      <c r="DM42" s="21">
        <f>'OPT1'!$A41</f>
        <v>0</v>
      </c>
      <c r="DN42" s="21">
        <f>'OPT2'!$A41</f>
        <v>0</v>
      </c>
    </row>
    <row r="43" spans="1:118" ht="25.2" customHeight="1">
      <c r="A43" s="35"/>
      <c r="B43" s="124"/>
      <c r="E43" s="3"/>
      <c r="F43" s="130"/>
      <c r="G43" s="3"/>
      <c r="H43" s="3"/>
      <c r="I43" s="3"/>
      <c r="J43" s="3"/>
      <c r="K43" s="3"/>
      <c r="L43" s="128"/>
      <c r="M43" s="29"/>
      <c r="N43" s="29"/>
      <c r="O43" s="29"/>
      <c r="P43" s="29"/>
      <c r="Q43" s="29"/>
      <c r="R43" s="20"/>
      <c r="S43" s="145"/>
      <c r="T43" s="144" t="s">
        <v>383</v>
      </c>
      <c r="U43" s="247"/>
      <c r="W43" s="228" t="s">
        <v>953</v>
      </c>
      <c r="X43" s="228">
        <f>IF($I$7=$AD$28,IF($X$54=3,IF($Z$4&lt;&gt;100,1,0),0),0)</f>
        <v>0</v>
      </c>
      <c r="Z43" s="240" t="s">
        <v>1066</v>
      </c>
      <c r="AA43" s="240">
        <f>IF($C$22&gt;0,1,0)</f>
        <v>0</v>
      </c>
      <c r="AB43" s="240"/>
      <c r="AD43" s="21" t="s">
        <v>40</v>
      </c>
      <c r="AE43" s="21" t="e">
        <f>AE41*100/AE39</f>
        <v>#N/A</v>
      </c>
      <c r="AF43" s="275" t="str">
        <f>"----&gt;"</f>
        <v>----&gt;</v>
      </c>
      <c r="AG43" s="21" t="e">
        <f>AE42+AE43</f>
        <v>#N/A</v>
      </c>
      <c r="AI43" s="232" t="s">
        <v>294</v>
      </c>
      <c r="AJ43" s="232"/>
      <c r="AK43" s="21"/>
      <c r="AT43" s="21"/>
      <c r="AW43" s="21"/>
      <c r="AX43" s="21"/>
      <c r="AY43" s="21"/>
      <c r="AZ43" s="232"/>
      <c r="BA43" s="232"/>
      <c r="BB43" s="232"/>
      <c r="BC43" s="232"/>
      <c r="BD43" s="232"/>
      <c r="BE43" s="232"/>
      <c r="BF43" s="232"/>
      <c r="BG43" s="232"/>
      <c r="BH43" s="21"/>
      <c r="BI43" s="21"/>
      <c r="BJ43" s="21"/>
      <c r="BK43" s="21"/>
      <c r="BL43" s="21"/>
      <c r="BP43" s="240" t="str">
        <f>CMV!$A$13</f>
        <v>Vit'i5 Orange (pot 250g)</v>
      </c>
      <c r="BQ43" s="286"/>
      <c r="BR43" s="286"/>
      <c r="BS43" s="286"/>
      <c r="BT43" s="286"/>
      <c r="BU43" s="286"/>
      <c r="BY43" s="265" t="s">
        <v>54</v>
      </c>
      <c r="BZ43" s="266">
        <v>1</v>
      </c>
      <c r="CB43" s="240" t="s">
        <v>121</v>
      </c>
      <c r="CC43" s="21">
        <v>1.1000000000000001</v>
      </c>
      <c r="CD43" s="21">
        <v>0</v>
      </c>
      <c r="CE43" s="21">
        <v>2</v>
      </c>
      <c r="CH43" s="275"/>
      <c r="CI43" s="275"/>
      <c r="CJ43" s="275"/>
      <c r="CK43" s="262"/>
      <c r="DH43" s="21">
        <f>HLS!$A42</f>
        <v>0</v>
      </c>
      <c r="DI43" s="21">
        <f>LGS!$A42</f>
        <v>0</v>
      </c>
      <c r="DJ43" s="21">
        <f>FCS!$A42</f>
        <v>0</v>
      </c>
      <c r="DK43" s="21" t="str">
        <f>VDS!$A42</f>
        <v>Pavé de saumon - CUIT</v>
      </c>
      <c r="DL43" s="264"/>
      <c r="DM43" s="21">
        <f>'OPT1'!$A42</f>
        <v>0</v>
      </c>
      <c r="DN43" s="21">
        <f>'OPT2'!$A42</f>
        <v>0</v>
      </c>
    </row>
    <row r="44" spans="1:118" ht="25.2" customHeight="1">
      <c r="A44" s="35"/>
      <c r="B44" s="124"/>
      <c r="E44" s="125"/>
      <c r="F44" s="126" t="s">
        <v>1090</v>
      </c>
      <c r="G44" s="3"/>
      <c r="H44" s="3"/>
      <c r="I44" s="3"/>
      <c r="J44" s="3"/>
      <c r="K44" s="3"/>
      <c r="L44" s="128"/>
      <c r="M44" s="29"/>
      <c r="N44" s="29"/>
      <c r="O44" s="29"/>
      <c r="P44" s="29"/>
      <c r="Q44" s="29"/>
      <c r="R44" s="20"/>
      <c r="S44" s="145"/>
      <c r="T44" s="144" t="s">
        <v>384</v>
      </c>
      <c r="U44" s="247"/>
      <c r="W44" s="232" t="s">
        <v>252</v>
      </c>
      <c r="X44" s="232"/>
      <c r="Z44" s="240" t="s">
        <v>1067</v>
      </c>
      <c r="AA44" s="240">
        <f>IF($AJ$11=1,1,IF($C$23&gt;0,1,0))</f>
        <v>0</v>
      </c>
      <c r="AB44" s="240"/>
      <c r="AI44" s="232" t="e">
        <f>ROUND(AS39*100/($AS$39+$AE$39+$AF$39+$AG$39+$AH$39+$AI$39),0)</f>
        <v>#N/A</v>
      </c>
      <c r="AJ44" s="232"/>
      <c r="AT44" s="21"/>
      <c r="AW44" s="21"/>
      <c r="AX44" s="21"/>
      <c r="AY44" s="21"/>
      <c r="AZ44" s="232"/>
      <c r="BA44" s="232"/>
      <c r="BB44" s="232"/>
      <c r="BC44" s="232"/>
      <c r="BD44" s="232"/>
      <c r="BE44" s="232"/>
      <c r="BF44" s="232"/>
      <c r="BG44" s="232"/>
      <c r="BH44" s="21"/>
      <c r="BI44" s="21"/>
      <c r="BJ44" s="21"/>
      <c r="BK44" s="21"/>
      <c r="BL44" s="21"/>
      <c r="BP44" s="240" t="str">
        <f>CMV!$A$11</f>
        <v>Vit'i5 Bleu (pot 600g pour chien agé)</v>
      </c>
      <c r="BQ44" s="286"/>
      <c r="BR44" s="286"/>
      <c r="BS44" s="286"/>
      <c r="BT44" s="286"/>
      <c r="BU44" s="286"/>
      <c r="BY44" s="265" t="s">
        <v>640</v>
      </c>
      <c r="BZ44" s="266">
        <v>1</v>
      </c>
      <c r="CB44" s="240" t="s">
        <v>161</v>
      </c>
      <c r="CC44" s="21">
        <v>1.2</v>
      </c>
      <c r="CD44" s="21">
        <v>0</v>
      </c>
      <c r="CE44" s="21">
        <v>4</v>
      </c>
      <c r="CK44" s="262"/>
      <c r="DH44" s="21">
        <f>HLS!$A43</f>
        <v>0</v>
      </c>
      <c r="DI44" s="21">
        <f>LGS!$A43</f>
        <v>0</v>
      </c>
      <c r="DJ44" s="21">
        <f>FCS!$A43</f>
        <v>0</v>
      </c>
      <c r="DK44" s="21" t="str">
        <f>VDS!$A43</f>
        <v>Filet de lieu noir - CUIT</v>
      </c>
      <c r="DL44" s="264"/>
      <c r="DM44" s="21">
        <f>'OPT1'!$A43</f>
        <v>0</v>
      </c>
      <c r="DN44" s="21">
        <f>'OPT2'!$A43</f>
        <v>0</v>
      </c>
    </row>
    <row r="45" spans="1:118" ht="25.2" customHeight="1">
      <c r="A45" s="35"/>
      <c r="B45" s="124"/>
      <c r="E45" s="125"/>
      <c r="F45" s="151" t="s">
        <v>1091</v>
      </c>
      <c r="G45" s="3"/>
      <c r="H45" s="3"/>
      <c r="I45" s="3"/>
      <c r="J45" s="3"/>
      <c r="K45" s="3"/>
      <c r="L45" s="128"/>
      <c r="M45" s="29"/>
      <c r="N45" s="29"/>
      <c r="O45" s="29"/>
      <c r="P45" s="29"/>
      <c r="Q45" s="29"/>
      <c r="R45" s="20"/>
      <c r="S45" s="145"/>
      <c r="T45" s="144" t="s">
        <v>1053</v>
      </c>
      <c r="U45" s="247"/>
      <c r="W45" s="230" t="s">
        <v>253</v>
      </c>
      <c r="X45" s="258">
        <f>$AA$47+$AA$49</f>
        <v>0</v>
      </c>
      <c r="Z45" s="240" t="s">
        <v>1068</v>
      </c>
      <c r="AA45" s="240">
        <f>IF($C$24&gt;0,1,0)</f>
        <v>0</v>
      </c>
      <c r="AB45" s="240"/>
      <c r="AM45" s="243" t="s">
        <v>291</v>
      </c>
      <c r="AN45" s="232"/>
      <c r="AO45" s="232"/>
      <c r="AP45" s="232"/>
      <c r="AQ45" s="232"/>
      <c r="AR45" s="232"/>
      <c r="AS45" s="243" t="s">
        <v>593</v>
      </c>
      <c r="AT45" s="243"/>
      <c r="AW45" s="21"/>
      <c r="AX45" s="21"/>
      <c r="AY45" s="21"/>
      <c r="AZ45" s="232"/>
      <c r="BA45" s="232"/>
      <c r="BB45" s="232"/>
      <c r="BC45" s="232"/>
      <c r="BD45" s="232"/>
      <c r="BE45" s="232"/>
      <c r="BF45" s="232"/>
      <c r="BG45" s="232"/>
      <c r="BH45" s="21"/>
      <c r="BI45" s="21"/>
      <c r="BJ45" s="21"/>
      <c r="BK45" s="21"/>
      <c r="BL45" s="21"/>
      <c r="BP45" s="240" t="str">
        <f>CMV!$A$14</f>
        <v>Vit'i5 Bleu (pot 250g pour chien agé)</v>
      </c>
      <c r="BQ45" s="286"/>
      <c r="BR45" s="286"/>
      <c r="BS45" s="286"/>
      <c r="BT45" s="286"/>
      <c r="BU45" s="286"/>
      <c r="BY45" s="265" t="s">
        <v>55</v>
      </c>
      <c r="BZ45" s="266">
        <v>1</v>
      </c>
      <c r="CB45" s="21"/>
      <c r="CC45" s="21"/>
      <c r="CK45" s="262"/>
      <c r="DH45" s="21">
        <f>HLS!$A44</f>
        <v>0</v>
      </c>
      <c r="DI45" s="21">
        <f>LGS!$A44</f>
        <v>0</v>
      </c>
      <c r="DJ45" s="21">
        <f>FCS!$A44</f>
        <v>0</v>
      </c>
      <c r="DK45" s="21" t="str">
        <f>VDS!$A44</f>
        <v>Filet de mulet - CUIT</v>
      </c>
      <c r="DL45" s="264"/>
      <c r="DM45" s="21">
        <f>'OPT1'!$A44</f>
        <v>0</v>
      </c>
      <c r="DN45" s="21">
        <f>'OPT2'!$A44</f>
        <v>0</v>
      </c>
    </row>
    <row r="46" spans="1:118" ht="25.2" customHeight="1">
      <c r="A46" s="35"/>
      <c r="B46" s="124"/>
      <c r="E46" s="125"/>
      <c r="F46" s="126"/>
      <c r="G46" s="3"/>
      <c r="H46" s="3"/>
      <c r="I46" s="3"/>
      <c r="J46" s="3"/>
      <c r="K46" s="3"/>
      <c r="L46" s="128"/>
      <c r="M46" s="29"/>
      <c r="N46" s="29"/>
      <c r="O46" s="29"/>
      <c r="P46" s="29"/>
      <c r="Q46" s="29"/>
      <c r="R46" s="20"/>
      <c r="S46" s="145"/>
      <c r="T46" s="144" t="s">
        <v>1054</v>
      </c>
      <c r="U46" s="247"/>
      <c r="W46" s="232" t="s">
        <v>140</v>
      </c>
      <c r="X46" s="232"/>
      <c r="Z46" s="240" t="s">
        <v>1069</v>
      </c>
      <c r="AA46" s="240">
        <f>IF($C$25&gt;0,1,0)</f>
        <v>0</v>
      </c>
      <c r="AB46" s="240"/>
      <c r="AD46" s="243" t="s">
        <v>962</v>
      </c>
      <c r="AE46" s="232"/>
      <c r="AM46" s="21" t="s">
        <v>214</v>
      </c>
      <c r="AN46" s="21" t="e">
        <f>Y33</f>
        <v>#N/A</v>
      </c>
      <c r="AO46" s="21" t="e">
        <f>IF($AN$46&gt;ROUND($AE$39/$Z$32*1000,0),1,0)</f>
        <v>#N/A</v>
      </c>
      <c r="AP46" s="21" t="s">
        <v>210</v>
      </c>
      <c r="AQ46" s="21" t="e">
        <f>$AJ$62</f>
        <v>#N/A</v>
      </c>
      <c r="AR46" s="21" t="e">
        <f>IF(ROUND($AE$40,2)&lt;$AQ$46,1,0)</f>
        <v>#N/A</v>
      </c>
      <c r="AS46" s="21" t="s">
        <v>592</v>
      </c>
      <c r="AT46" s="21" t="e">
        <f>IF(ROUND($AE$40,2)&lt;($AQ$46+($AQ$46/100*$AT$54)),1,0)+$AR$46</f>
        <v>#N/A</v>
      </c>
      <c r="AW46" s="21"/>
      <c r="AX46" s="21"/>
      <c r="AY46" s="21"/>
      <c r="AZ46" s="232"/>
      <c r="BA46" s="232"/>
      <c r="BB46" s="232"/>
      <c r="BC46" s="232"/>
      <c r="BD46" s="232"/>
      <c r="BE46" s="232"/>
      <c r="BF46" s="232"/>
      <c r="BG46" s="232"/>
      <c r="BH46" s="232"/>
      <c r="BI46" s="232"/>
      <c r="BJ46" s="232"/>
      <c r="BK46" s="232"/>
      <c r="BL46" s="21"/>
      <c r="BP46" s="240" t="str">
        <f>CMV!$A$12</f>
        <v>Vit'i5 Rouge (pot 600g pour ration mixte)</v>
      </c>
      <c r="BQ46" s="286"/>
      <c r="BR46" s="286"/>
      <c r="BS46" s="286"/>
      <c r="BT46" s="286"/>
      <c r="BU46" s="286"/>
      <c r="BY46" s="265" t="s">
        <v>641</v>
      </c>
      <c r="BZ46" s="266">
        <v>1</v>
      </c>
      <c r="CB46" s="21"/>
      <c r="CC46" s="21"/>
      <c r="CG46" s="232" t="s">
        <v>1047</v>
      </c>
      <c r="CH46" s="232"/>
      <c r="CI46" s="21" t="s">
        <v>1048</v>
      </c>
      <c r="CJ46" s="21" t="s">
        <v>1049</v>
      </c>
      <c r="DH46" s="21">
        <f>HLS!$A45</f>
        <v>0</v>
      </c>
      <c r="DI46" s="21">
        <f>LGS!$A45</f>
        <v>0</v>
      </c>
      <c r="DJ46" s="21">
        <f>FCS!$A45</f>
        <v>0</v>
      </c>
      <c r="DK46" s="21" t="str">
        <f>VDS!$A45</f>
        <v>Filet de maquereau - CUIT</v>
      </c>
      <c r="DL46" s="264"/>
      <c r="DM46" s="21">
        <f>'OPT1'!$A45</f>
        <v>0</v>
      </c>
      <c r="DN46" s="21">
        <f>'OPT2'!$A45</f>
        <v>0</v>
      </c>
    </row>
    <row r="47" spans="1:118" ht="25.2" customHeight="1">
      <c r="A47" s="35"/>
      <c r="B47" s="124"/>
      <c r="F47" s="3"/>
      <c r="G47" s="3"/>
      <c r="H47" s="3"/>
      <c r="I47" s="3"/>
      <c r="J47" s="3"/>
      <c r="K47" s="3"/>
      <c r="L47" s="131"/>
      <c r="M47" s="29"/>
      <c r="N47" s="29"/>
      <c r="O47" s="29"/>
      <c r="P47" s="29"/>
      <c r="Q47" s="29"/>
      <c r="R47" s="20"/>
      <c r="S47" s="145"/>
      <c r="T47" s="143"/>
      <c r="U47" s="247"/>
      <c r="W47" s="240"/>
      <c r="X47" s="258"/>
      <c r="Z47" s="240" t="s">
        <v>1070</v>
      </c>
      <c r="AA47" s="240">
        <f>IF($I$7&gt;0,1,0)</f>
        <v>0</v>
      </c>
      <c r="AB47" s="21" t="s">
        <v>983</v>
      </c>
      <c r="AD47" s="21" t="s">
        <v>843</v>
      </c>
      <c r="AE47" s="21" t="e">
        <f>VLOOKUP($C$20,$CG$4:$DE$27,25,0)</f>
        <v>#N/A</v>
      </c>
      <c r="AF47" s="21" t="s">
        <v>1037</v>
      </c>
      <c r="AM47" s="21" t="s">
        <v>217</v>
      </c>
      <c r="AN47" s="21" t="e">
        <f>VLOOKUP($AF$58,$CG$4:$DD$27,11,0)</f>
        <v>#N/A</v>
      </c>
      <c r="AO47" s="21" t="e">
        <f>IF(ROUND((100*$AE$39)/SUM($AE$39:$AI$39),2)&lt;$AN$47,1,0)</f>
        <v>#N/A</v>
      </c>
      <c r="AP47" s="21" t="s">
        <v>596</v>
      </c>
      <c r="AQ47" s="21" t="e">
        <f>VLOOKUP($AF$58,$CG$4:$DD$27,21,0)</f>
        <v>#N/A</v>
      </c>
      <c r="AR47" s="21" t="e">
        <f>IF($X$101&lt;1,0,IF($AK$21&lt;$AQ$47,1,0))</f>
        <v>#N/A</v>
      </c>
      <c r="AS47" s="21" t="e">
        <f>IF(ROUND((100*$AE$39)/SUM($AE$39:$AI$39),2)&lt;($AN$47+($AN$47/100*$AT$54)),1,0)+$AO$47</f>
        <v>#N/A</v>
      </c>
      <c r="AT47" s="21" t="e">
        <f>IF($AR$47=1,2,0)</f>
        <v>#N/A</v>
      </c>
      <c r="AW47" s="21"/>
      <c r="AX47" s="21"/>
      <c r="AY47" s="21"/>
      <c r="AZ47" s="232"/>
      <c r="BA47" s="232"/>
      <c r="BB47" s="232"/>
      <c r="BC47" s="232"/>
      <c r="BD47" s="232"/>
      <c r="BE47" s="232"/>
      <c r="BF47" s="232"/>
      <c r="BG47" s="232"/>
      <c r="BH47" s="232"/>
      <c r="BI47" s="232"/>
      <c r="BJ47" s="232"/>
      <c r="BK47" s="232"/>
      <c r="BL47" s="21"/>
      <c r="BM47" s="21"/>
      <c r="BP47" s="240" t="str">
        <f>CMV!$A$15</f>
        <v>Vit'i5 Rouge (pot 250g pour ration mixte)</v>
      </c>
      <c r="BQ47" s="286"/>
      <c r="BR47" s="286"/>
      <c r="BS47" s="286"/>
      <c r="BT47" s="286"/>
      <c r="BU47" s="286"/>
      <c r="BY47" s="265" t="s">
        <v>642</v>
      </c>
      <c r="BZ47" s="266">
        <v>1</v>
      </c>
      <c r="CB47" s="21"/>
      <c r="CC47" s="21"/>
      <c r="CG47" s="240" t="str">
        <f>CG4</f>
        <v>Adulte</v>
      </c>
      <c r="CH47" s="21"/>
      <c r="CI47" s="21">
        <v>5</v>
      </c>
      <c r="CJ47" s="21">
        <v>2.8</v>
      </c>
      <c r="DH47" s="21">
        <f>HLS!$A46</f>
        <v>0</v>
      </c>
      <c r="DI47" s="21">
        <f>LGS!$A46</f>
        <v>0</v>
      </c>
      <c r="DJ47" s="21">
        <f>FCS!$A46</f>
        <v>0</v>
      </c>
      <c r="DK47" s="21" t="str">
        <f>VDS!$A46</f>
        <v>Sardine (conserve) - DEJA CUITES</v>
      </c>
      <c r="DL47" s="264"/>
      <c r="DM47" s="21">
        <f>'OPT1'!$A46</f>
        <v>0</v>
      </c>
      <c r="DN47" s="21">
        <f>'OPT2'!$A46</f>
        <v>0</v>
      </c>
    </row>
    <row r="48" spans="1:118" ht="25.2" customHeight="1" thickBot="1">
      <c r="A48" s="35"/>
      <c r="B48" s="132"/>
      <c r="C48" s="133"/>
      <c r="D48" s="133"/>
      <c r="E48" s="133"/>
      <c r="F48" s="134"/>
      <c r="G48" s="134"/>
      <c r="H48" s="134"/>
      <c r="I48" s="134"/>
      <c r="J48" s="134"/>
      <c r="K48" s="134"/>
      <c r="L48" s="135" t="str">
        <f>"Ce calculateur est optimisé pour Microsoft Excel (2007 et supérieur) mais il fonctionne également avec Apache OpenOffice et Google Sheets "</f>
        <v xml:space="preserve">Ce calculateur est optimisé pour Microsoft Excel (2007 et supérieur) mais il fonctionne également avec Apache OpenOffice et Google Sheets </v>
      </c>
      <c r="M48" s="29"/>
      <c r="N48" s="29"/>
      <c r="O48" s="29"/>
      <c r="P48" s="29"/>
      <c r="Q48" s="29"/>
      <c r="R48" s="20"/>
      <c r="S48" s="147"/>
      <c r="T48" s="148"/>
      <c r="U48" s="148"/>
      <c r="W48" s="240"/>
      <c r="X48" s="258"/>
      <c r="Z48" s="240" t="s">
        <v>134</v>
      </c>
      <c r="AA48" s="240">
        <f>IF($I$8&gt;0,1,0)</f>
        <v>0</v>
      </c>
      <c r="AB48" s="21">
        <f>IF($I$9&gt;0,0,-1)</f>
        <v>-1</v>
      </c>
      <c r="AD48" s="21" t="s">
        <v>844</v>
      </c>
      <c r="AE48" s="21">
        <f>IF(CTRL!C24&gt;0,CTRL!E24,100)</f>
        <v>12</v>
      </c>
      <c r="AF48" s="21" t="s">
        <v>1038</v>
      </c>
      <c r="AG48" s="243" t="s">
        <v>237</v>
      </c>
      <c r="AH48" s="238"/>
      <c r="AI48" s="238"/>
      <c r="AJ48" s="238"/>
      <c r="AK48" s="249" t="s">
        <v>236</v>
      </c>
      <c r="AM48" s="21" t="s">
        <v>218</v>
      </c>
      <c r="AN48" s="21" t="e">
        <f>VLOOKUP($AF$58,$CG$4:$DD$27,13,0)</f>
        <v>#N/A</v>
      </c>
      <c r="AO48" s="21" t="e">
        <f>IF(ROUND((100*$AF$39)/SUM($AE$39:$AI$39),2)&lt;$AN$48,1,0)</f>
        <v>#N/A</v>
      </c>
      <c r="AP48" s="21" t="s">
        <v>209</v>
      </c>
      <c r="AQ48" s="21" t="e">
        <f>VLOOKUP($AF$58,$CG$4:$DD$27,18,0)</f>
        <v>#N/A</v>
      </c>
      <c r="AR48" s="21" t="e">
        <f>IF($X$101&lt;1,0,IF($AJ$40&gt;$AQ$48,1,0))</f>
        <v>#N/A</v>
      </c>
      <c r="AS48" s="21" t="e">
        <f>IF(ROUND((100*$AF$39)/SUM($AE$39:$AI$39),2)&lt;($AN$48+($AN$48/100*$AT$54)),1,0)+$AO$48</f>
        <v>#N/A</v>
      </c>
      <c r="AT48" s="21" t="e">
        <f>IF($X$101&gt;0.5,IF($AJ$40&gt;($AQ$48-($AQ$48/100*$AT$54)),1,0)+$AR$48+IF($AJ$40&lt;1,2,0),0)</f>
        <v>#N/A</v>
      </c>
      <c r="AW48" s="21"/>
      <c r="AX48" s="21"/>
      <c r="AY48" s="21"/>
      <c r="AZ48" s="21"/>
      <c r="BA48" s="21"/>
      <c r="BB48" s="21"/>
      <c r="BC48" s="21"/>
      <c r="BD48" s="232"/>
      <c r="BE48" s="232"/>
      <c r="BF48" s="232"/>
      <c r="BG48" s="232"/>
      <c r="BH48" s="232"/>
      <c r="BI48" s="232"/>
      <c r="BJ48" s="232"/>
      <c r="BK48" s="232"/>
      <c r="BL48" s="21"/>
      <c r="BM48" s="21"/>
      <c r="BP48" s="240" t="str">
        <f>CMV!$A$9</f>
        <v>Alphamix</v>
      </c>
      <c r="BQ48" s="286"/>
      <c r="BR48" s="286"/>
      <c r="BS48" s="286"/>
      <c r="BT48" s="286"/>
      <c r="BU48" s="286"/>
      <c r="BY48" s="265" t="s">
        <v>739</v>
      </c>
      <c r="BZ48" s="266">
        <v>1</v>
      </c>
      <c r="CG48" s="240" t="str">
        <f t="shared" ref="CG48:CG70" si="3">CG5</f>
        <v>Senior (8 ans et plus)</v>
      </c>
      <c r="CH48" s="21"/>
      <c r="CI48" s="21">
        <v>5</v>
      </c>
      <c r="CJ48" s="21">
        <v>2.5</v>
      </c>
      <c r="DH48" s="21">
        <f>HLS!$A47</f>
        <v>0</v>
      </c>
      <c r="DI48" s="21">
        <f>LGS!$A47</f>
        <v>0</v>
      </c>
      <c r="DJ48" s="21">
        <f>FCS!$A47</f>
        <v>0</v>
      </c>
      <c r="DK48" s="21" t="str">
        <f>VDS!$A47</f>
        <v>Sardines fraîches - ENTIERES</v>
      </c>
      <c r="DL48" s="264"/>
      <c r="DM48" s="21">
        <f>'OPT1'!$A47</f>
        <v>0</v>
      </c>
      <c r="DN48" s="21">
        <f>'OPT2'!$A47</f>
        <v>0</v>
      </c>
    </row>
    <row r="49" spans="1:118" ht="25.2" customHeight="1">
      <c r="A49" s="35"/>
      <c r="B49" s="136"/>
      <c r="C49" s="136"/>
      <c r="D49" s="137"/>
      <c r="E49" s="137"/>
      <c r="F49" s="137"/>
      <c r="G49" s="137"/>
      <c r="H49" s="137"/>
      <c r="I49" s="137"/>
      <c r="J49" s="137"/>
      <c r="K49" s="137"/>
      <c r="L49" s="138"/>
      <c r="M49" s="29"/>
      <c r="N49" s="29"/>
      <c r="O49" s="29"/>
      <c r="P49" s="29"/>
      <c r="Q49" s="29"/>
      <c r="R49" s="16"/>
      <c r="S49" s="16"/>
      <c r="T49" s="16"/>
      <c r="U49" s="12"/>
      <c r="W49" s="240"/>
      <c r="X49" s="258"/>
      <c r="Z49" s="240" t="s">
        <v>1071</v>
      </c>
      <c r="AA49" s="240">
        <f>IF($I$11=0,IF($X$3=0,1,0),1)</f>
        <v>0</v>
      </c>
      <c r="AB49" s="240"/>
      <c r="AD49" s="21" t="s">
        <v>165</v>
      </c>
      <c r="AE49" s="21" t="e">
        <f>VLOOKUP($C$20,$CG$4:$CJ$27,3,0)</f>
        <v>#N/A</v>
      </c>
      <c r="AF49" s="21">
        <f>IF($I$12="Courgette avec peau - CUITE",-1,0)</f>
        <v>0</v>
      </c>
      <c r="AG49" s="21" t="s">
        <v>807</v>
      </c>
      <c r="AH49" s="21" t="e">
        <f>ROUND($AE$24*$M$11/100,2)</f>
        <v>#N/A</v>
      </c>
      <c r="AI49" s="21" t="e">
        <f>ROUND($AF$24*$M$12/100,2)</f>
        <v>#N/A</v>
      </c>
      <c r="AJ49" s="269" t="e">
        <f>$Z$35-$AH$49-$AI$49-$AK$49</f>
        <v>#N/A</v>
      </c>
      <c r="AK49" s="21">
        <f>$AH$24*$M$14/100</f>
        <v>0</v>
      </c>
      <c r="AM49" s="21" t="s">
        <v>219</v>
      </c>
      <c r="AN49" s="235" t="e">
        <f>VLOOKUP($AF$58,$CG$4:$DD$27,12,0)+$AO$57</f>
        <v>#N/A</v>
      </c>
      <c r="AO49" s="21" t="e">
        <f>IF(ROUND((100*$AF$39)/SUM($AE$39:$AI$39),2)&gt;$AN$49,1,0)</f>
        <v>#N/A</v>
      </c>
      <c r="AP49" s="21" t="s">
        <v>597</v>
      </c>
      <c r="AQ49" s="21" t="e">
        <f>VLOOKUP($AF$58,$CG$4:$DD$27,20,0)</f>
        <v>#N/A</v>
      </c>
      <c r="AR49" s="21" t="e">
        <f>IF($AJ$21&lt;$AQ$49,1,0)</f>
        <v>#N/A</v>
      </c>
      <c r="AS49" s="21" t="e">
        <f>IF(ROUND((100*$AF$39)/SUM($AE$39:$AI$39),2)&gt;($AN$49-($AN$49/100*$AT$54)),1,0)+$AO$49</f>
        <v>#N/A</v>
      </c>
      <c r="AT49" s="21" t="e">
        <f>IF($AJ$21&lt;($AQ$49+($AQ$49/100*$AT$54)),1,0)+$AR$49</f>
        <v>#N/A</v>
      </c>
      <c r="AW49" s="21"/>
      <c r="AX49" s="21"/>
      <c r="AY49" s="21"/>
      <c r="AZ49" s="21"/>
      <c r="BA49" s="21"/>
      <c r="BB49" s="21"/>
      <c r="BC49" s="21"/>
      <c r="BD49" s="232"/>
      <c r="BE49" s="232"/>
      <c r="BF49" s="232"/>
      <c r="BG49" s="232"/>
      <c r="BH49" s="232"/>
      <c r="BI49" s="232"/>
      <c r="BJ49" s="232"/>
      <c r="BK49" s="232"/>
      <c r="BL49" s="21"/>
      <c r="BM49" s="21"/>
      <c r="BP49" s="240" t="str">
        <f>CMV!$A$16</f>
        <v>Alphamix sénior</v>
      </c>
      <c r="BQ49" s="286"/>
      <c r="BR49" s="286"/>
      <c r="BS49" s="286"/>
      <c r="BT49" s="286"/>
      <c r="BU49" s="286"/>
      <c r="BY49" s="265" t="s">
        <v>643</v>
      </c>
      <c r="BZ49" s="266">
        <v>1</v>
      </c>
      <c r="CG49" s="240" t="str">
        <f t="shared" si="3"/>
        <v xml:space="preserve">Chiot (&lt; 10kg adulte) 3 à 4 mois </v>
      </c>
      <c r="CH49" s="21"/>
      <c r="CI49" s="21">
        <v>3.5</v>
      </c>
      <c r="CJ49" s="21">
        <v>3</v>
      </c>
      <c r="DH49" s="21">
        <f>HLS!$A48</f>
        <v>0</v>
      </c>
      <c r="DI49" s="21">
        <f>LGS!$A48</f>
        <v>0</v>
      </c>
      <c r="DJ49" s="21">
        <f>FCS!$A48</f>
        <v>0</v>
      </c>
      <c r="DK49" s="21" t="str">
        <f>VDS!$A48</f>
        <v>Sprat entier - CRU</v>
      </c>
      <c r="DL49" s="264"/>
      <c r="DM49" s="21">
        <f>'OPT1'!$A48</f>
        <v>0</v>
      </c>
      <c r="DN49" s="21">
        <f>'OPT2'!$A48</f>
        <v>0</v>
      </c>
    </row>
    <row r="50" spans="1:118" ht="25.2" customHeight="1">
      <c r="A50" s="3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9"/>
      <c r="O50" s="29"/>
      <c r="P50" s="29"/>
      <c r="Q50" s="29"/>
      <c r="R50" s="16"/>
      <c r="S50" s="16"/>
      <c r="T50" s="16"/>
      <c r="U50" s="12"/>
      <c r="W50" s="240"/>
      <c r="X50" s="258"/>
      <c r="Z50" s="240" t="s">
        <v>1069</v>
      </c>
      <c r="AA50" s="240">
        <f>IF($I$12=0,IF($Y$3=0,1,0),1)</f>
        <v>0</v>
      </c>
      <c r="AB50" s="21" t="s">
        <v>1140</v>
      </c>
      <c r="AD50" s="21" t="s">
        <v>168</v>
      </c>
      <c r="AE50" s="269" t="e">
        <f>IF($AJ$11=1,0,VLOOKUP($C$21,$CB$4:$CE$9,3,0))+VLOOKUP($C$22,$CG$40:$CJ$42,3,0)+IF($AJ$11=1,0,VLOOKUP($C$23,$CB$40:$CE$44,3,0))+VLOOKUP($C$24,$CB$28:$CE$32,3,0)+VLOOKUP($C$25,$CB$19:$CE$22,3,0)+AF54</f>
        <v>#N/A</v>
      </c>
      <c r="AF50" s="21">
        <f>IF($I$12="Courgette avec peau - CRUE",-1,0)</f>
        <v>0</v>
      </c>
      <c r="AG50" s="21" t="s">
        <v>1077</v>
      </c>
      <c r="AH50" s="21" t="e">
        <f>ROUND($AE$25*$M$11/100,2)</f>
        <v>#N/A</v>
      </c>
      <c r="AI50" s="21" t="e">
        <f>ROUND($AF$25*$M$12/100,2)</f>
        <v>#N/A</v>
      </c>
      <c r="AJ50" s="269" t="e">
        <f>$Z$35-$AH$50-$AI$50-$AK$50</f>
        <v>#N/A</v>
      </c>
      <c r="AK50" s="21">
        <f>$AH$25*$M$14/100</f>
        <v>0</v>
      </c>
      <c r="AM50" s="21" t="s">
        <v>220</v>
      </c>
      <c r="AN50" s="21" t="e">
        <f>VLOOKUP($AF$58,$CG$4:$DD$27,14,0)</f>
        <v>#N/A</v>
      </c>
      <c r="AO50" s="21" t="e">
        <f>IF(ROUND((100*$AG$39)/SUM($AE$39:$AI$39),2)&gt;$AN$50,1,0)</f>
        <v>#N/A</v>
      </c>
      <c r="AP50" s="21" t="s">
        <v>208</v>
      </c>
      <c r="AQ50" s="21" t="e">
        <f>VLOOKUP($AF$58,$CG$4:$DD$27,19,0)</f>
        <v>#N/A</v>
      </c>
      <c r="AR50" s="21" t="e">
        <f>IF(ROUND($AR$40,2)&gt;$AQ$50,1,0)</f>
        <v>#N/A</v>
      </c>
      <c r="AS50" s="21" t="e">
        <f>IF(ROUND((100*$AG$39)/SUM($AE$39:$AI$39),2)&gt;($AN$50-($AN$50/100*$AT$54)),1,0)+$AO$50</f>
        <v>#N/A</v>
      </c>
      <c r="AT50" s="21" t="e">
        <f>IF(ROUND($AR$40,2)&gt;($AQ$50-($AQ$50/100*$AT$54)),1,0)+$AR$50</f>
        <v>#N/A</v>
      </c>
      <c r="AW50" s="21"/>
      <c r="AX50" s="21"/>
      <c r="AY50" s="21"/>
      <c r="AZ50" s="21"/>
      <c r="BA50" s="21"/>
      <c r="BB50" s="21"/>
      <c r="BC50" s="21"/>
      <c r="BD50" s="232"/>
      <c r="BE50" s="232"/>
      <c r="BF50" s="232"/>
      <c r="BG50" s="232"/>
      <c r="BH50" s="232"/>
      <c r="BI50" s="232"/>
      <c r="BJ50" s="232"/>
      <c r="BK50" s="232"/>
      <c r="BL50" s="21"/>
      <c r="BM50" s="21"/>
      <c r="BP50" s="240" t="str">
        <f>CMV!$A$6</f>
        <v>Felini complete</v>
      </c>
      <c r="BQ50" s="286"/>
      <c r="BR50" s="286"/>
      <c r="BS50" s="286"/>
      <c r="BT50" s="286"/>
      <c r="BU50" s="286"/>
      <c r="BY50" s="265" t="s">
        <v>644</v>
      </c>
      <c r="BZ50" s="266">
        <v>1</v>
      </c>
      <c r="CG50" s="240" t="str">
        <f t="shared" si="3"/>
        <v xml:space="preserve">Chiot (&lt; 10kg adulte) 5 à 7 mois </v>
      </c>
      <c r="CH50" s="21"/>
      <c r="CI50" s="21">
        <v>3.5</v>
      </c>
      <c r="CJ50" s="21">
        <v>3</v>
      </c>
      <c r="DH50" s="21">
        <f>HLS!$A49</f>
        <v>0</v>
      </c>
      <c r="DI50" s="21">
        <f>LGS!$A49</f>
        <v>0</v>
      </c>
      <c r="DJ50" s="21">
        <f>FCS!$A49</f>
        <v>0</v>
      </c>
      <c r="DK50" s="21" t="str">
        <f>VDS!$A49</f>
        <v>Joëls entier - CRU</v>
      </c>
      <c r="DL50" s="264"/>
      <c r="DM50" s="21">
        <f>'OPT1'!$A49</f>
        <v>0</v>
      </c>
      <c r="DN50" s="21">
        <f>'OPT2'!$A49</f>
        <v>0</v>
      </c>
    </row>
    <row r="51" spans="1:118" ht="25.2" customHeight="1">
      <c r="A51" s="35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9"/>
      <c r="O51" s="29"/>
      <c r="P51" s="29"/>
      <c r="Q51" s="29"/>
      <c r="R51" s="16"/>
      <c r="S51" s="16"/>
      <c r="T51" s="16"/>
      <c r="U51" s="12"/>
      <c r="W51" s="240"/>
      <c r="X51" s="258"/>
      <c r="Z51" s="240" t="s">
        <v>1072</v>
      </c>
      <c r="AA51" s="240">
        <f>IF($I$13=0,IF($Z$3=0,1,0),1)</f>
        <v>0</v>
      </c>
      <c r="AB51" s="21">
        <f>IF(SUM($AA$39:$AA$53)+$AB$48+$X$103+$AJ$9=15,IF($AJ$40&lt;1,-1,0),0)</f>
        <v>0</v>
      </c>
      <c r="AD51" s="21" t="s">
        <v>169</v>
      </c>
      <c r="AE51" s="21" t="e">
        <f>IF($AE$49+$AE$50&gt;$AE$47,IF($AE$49+$AE$50&gt;$AE$48,$AE$48,$AE$49+$AE$50),$AE$47)</f>
        <v>#N/A</v>
      </c>
      <c r="AF51" s="21">
        <f>IF($I$12="Céleri branche - CUIT",-2,0)</f>
        <v>0</v>
      </c>
      <c r="AG51" s="21" t="s">
        <v>234</v>
      </c>
      <c r="AH51" s="21" t="e">
        <f>ROUND($AE$26*$M$11/100,2)</f>
        <v>#N/A</v>
      </c>
      <c r="AI51" s="21" t="e">
        <f>ROUND($AF$26*$M$12/100,2)</f>
        <v>#N/A</v>
      </c>
      <c r="AJ51" s="269" t="e">
        <f>$Z$35-$AH$51-$AI$51-$AK$51</f>
        <v>#N/A</v>
      </c>
      <c r="AK51" s="21">
        <f>$AH$26*$M$14/100</f>
        <v>0</v>
      </c>
      <c r="AM51" s="21" t="s">
        <v>221</v>
      </c>
      <c r="AN51" s="21" t="e">
        <f>VLOOKUP($AF$58,$CG$4:$DD$27,15,0)</f>
        <v>#N/A</v>
      </c>
      <c r="AO51" s="21" t="e">
        <f>IF(ROUND((100*$AH$39)/SUM($AE$39:$AI$39),2)&gt;$AN$51,1,0)</f>
        <v>#N/A</v>
      </c>
      <c r="AP51" s="21" t="s">
        <v>606</v>
      </c>
      <c r="AQ51" s="21">
        <v>0</v>
      </c>
      <c r="AR51" s="21" t="e">
        <f>IF($AL$21&lt;$AQ$51,1,0)</f>
        <v>#N/A</v>
      </c>
      <c r="AS51" s="21" t="e">
        <f>IF(ROUND((100*$AH$39)/SUM($AE$39:$AI$39),2)&gt;($AN$51-($AN$51/100*$AT$54)),1,0)+$AO$51</f>
        <v>#N/A</v>
      </c>
      <c r="AT51" s="21" t="e">
        <f>IF($AL$21&lt;($AQ$51+($AQ$51/100*$AT$54)),1,0)+$AR$51</f>
        <v>#N/A</v>
      </c>
      <c r="AW51" s="21"/>
      <c r="AX51" s="21"/>
      <c r="AY51" s="21"/>
      <c r="AZ51" s="21"/>
      <c r="BA51" s="21"/>
      <c r="BB51" s="21"/>
      <c r="BC51" s="21"/>
      <c r="BD51" s="232"/>
      <c r="BE51" s="232"/>
      <c r="BF51" s="232"/>
      <c r="BG51" s="232"/>
      <c r="BH51" s="232"/>
      <c r="BI51" s="232"/>
      <c r="BJ51" s="232"/>
      <c r="BK51" s="232"/>
      <c r="BL51" s="21"/>
      <c r="BM51" s="21"/>
      <c r="BP51" s="240" t="str">
        <f>CMV!$A$7</f>
        <v>Felini renal</v>
      </c>
      <c r="BQ51" s="286"/>
      <c r="BR51" s="286"/>
      <c r="BS51" s="286"/>
      <c r="BT51" s="286"/>
      <c r="BU51" s="286"/>
      <c r="BY51" s="265" t="s">
        <v>645</v>
      </c>
      <c r="BZ51" s="266">
        <v>1</v>
      </c>
      <c r="CG51" s="240" t="str">
        <f t="shared" si="3"/>
        <v xml:space="preserve">Chiot (&lt; 10kg adulte) 8 à 10 mois </v>
      </c>
      <c r="CH51" s="21"/>
      <c r="CI51" s="21">
        <v>3.5</v>
      </c>
      <c r="CJ51" s="21">
        <v>3</v>
      </c>
      <c r="DH51" s="21">
        <f>HLS!$A50</f>
        <v>0</v>
      </c>
      <c r="DI51" s="21">
        <f>LGS!$A50</f>
        <v>0</v>
      </c>
      <c r="DJ51" s="21">
        <f>FCS!$A50</f>
        <v>0</v>
      </c>
      <c r="DK51" s="21" t="str">
        <f>VDS!$A50</f>
        <v>Œuf de poule, entier - BIEN CUIT</v>
      </c>
      <c r="DL51" s="264"/>
      <c r="DM51" s="21">
        <f>'OPT1'!$A50</f>
        <v>0</v>
      </c>
      <c r="DN51" s="21">
        <f>'OPT2'!$A50</f>
        <v>0</v>
      </c>
    </row>
    <row r="52" spans="1:118" ht="25.2" customHeight="1">
      <c r="A52" s="35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9"/>
      <c r="O52" s="29"/>
      <c r="P52" s="29"/>
      <c r="Q52" s="29"/>
      <c r="R52" s="16"/>
      <c r="S52" s="16"/>
      <c r="T52" s="16"/>
      <c r="U52" s="12"/>
      <c r="W52" s="258" t="s">
        <v>138</v>
      </c>
      <c r="X52" s="258"/>
      <c r="Z52" s="240" t="s">
        <v>1073</v>
      </c>
      <c r="AA52" s="240">
        <f>IF($I$14=0,IF($AA$3=0,1,0),1)</f>
        <v>0</v>
      </c>
      <c r="AB52" s="240"/>
      <c r="AD52" s="21" t="s">
        <v>591</v>
      </c>
      <c r="AE52" s="21" t="e">
        <f>IF($AF$20=0,($Z$32*$AE$51/100),($AH$20*$M$12/100))</f>
        <v>#N/A</v>
      </c>
      <c r="AF52" s="275">
        <f>IF($I$12="Concombre avec peau - CRU",-2,0)</f>
        <v>0</v>
      </c>
      <c r="AG52" s="21" t="s">
        <v>235</v>
      </c>
      <c r="AH52" s="21" t="e">
        <f>ROUND($AE$27*$M$11/100,2)</f>
        <v>#N/A</v>
      </c>
      <c r="AI52" s="21" t="e">
        <f>ROUND($AF$27*$M$12/100,2)</f>
        <v>#N/A</v>
      </c>
      <c r="AJ52" s="269"/>
      <c r="AK52" s="21">
        <f>$AH$27*$M$14/100</f>
        <v>0</v>
      </c>
      <c r="AM52" s="21" t="s">
        <v>222</v>
      </c>
      <c r="AN52" s="21" t="e">
        <f>VLOOKUP($AF$58,$CG$4:$DD$27,16,0)</f>
        <v>#N/A</v>
      </c>
      <c r="AO52" s="21" t="e">
        <f>IF(ROUND((100*$AI$39)/SUM($AE$39:$AI$39),2)&lt;$AN$52,1,0)</f>
        <v>#N/A</v>
      </c>
      <c r="AP52" s="21" t="s">
        <v>599</v>
      </c>
      <c r="AQ52" s="21" t="e">
        <f>VLOOKUP($AF$58,$CG$4:$DD$27,22,0)</f>
        <v>#N/A</v>
      </c>
      <c r="AR52" s="21" t="e">
        <f>IF($AJ$21&gt;$AQ$52,1,0)</f>
        <v>#N/A</v>
      </c>
      <c r="AS52" s="21" t="e">
        <f>IF(ROUND((100*$AI$39)/SUM($AE$39:$AI$39),2)&lt;($AN$52+($AN$52/100*$AT$54)),1,0)+$AO$52</f>
        <v>#N/A</v>
      </c>
      <c r="AT52" s="21" t="e">
        <f>IF($AJ$21&gt;$AQ$55,1,0)+$AR$52</f>
        <v>#N/A</v>
      </c>
      <c r="AW52" s="21"/>
      <c r="AX52" s="21"/>
      <c r="AY52" s="21"/>
      <c r="AZ52" s="21"/>
      <c r="BA52" s="21"/>
      <c r="BB52" s="21"/>
      <c r="BC52" s="21"/>
      <c r="BD52" s="232"/>
      <c r="BE52" s="232"/>
      <c r="BF52" s="232"/>
      <c r="BG52" s="232"/>
      <c r="BH52" s="232"/>
      <c r="BI52" s="232"/>
      <c r="BJ52" s="232"/>
      <c r="BK52" s="232"/>
      <c r="BL52" s="21"/>
      <c r="BM52" s="21"/>
      <c r="BP52" s="240" t="str">
        <f>CMV!$A$4</f>
        <v>Sofcanis adu./croiss. comprimé</v>
      </c>
      <c r="BQ52" s="286"/>
      <c r="BR52" s="286"/>
      <c r="BS52" s="286"/>
      <c r="BT52" s="286"/>
      <c r="BU52" s="286"/>
      <c r="BY52" s="265" t="s">
        <v>646</v>
      </c>
      <c r="BZ52" s="266">
        <v>0.9</v>
      </c>
      <c r="CG52" s="240" t="str">
        <f t="shared" si="3"/>
        <v xml:space="preserve">Chiot (10-20kg adulte) 3 à 5 mois </v>
      </c>
      <c r="CH52" s="21"/>
      <c r="CI52" s="21">
        <v>3.5</v>
      </c>
      <c r="CJ52" s="21">
        <v>3</v>
      </c>
      <c r="DH52" s="21">
        <f>HLS!$A51</f>
        <v>0</v>
      </c>
      <c r="DI52" s="21">
        <f>LGS!$A51</f>
        <v>0</v>
      </c>
      <c r="DJ52" s="21">
        <f>FCS!$A51</f>
        <v>0</v>
      </c>
      <c r="DK52" s="21" t="str">
        <f>VDS!$A51</f>
        <v>Œuf de poule, blanc - BIEN CUIT</v>
      </c>
      <c r="DL52" s="264"/>
      <c r="DM52" s="21">
        <f>'OPT1'!$A51</f>
        <v>0</v>
      </c>
      <c r="DN52" s="21">
        <f>'OPT2'!$A51</f>
        <v>0</v>
      </c>
    </row>
    <row r="53" spans="1:118" ht="25.2" customHeight="1">
      <c r="A53" s="35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9"/>
      <c r="O53" s="29"/>
      <c r="P53" s="29"/>
      <c r="Q53" s="29"/>
      <c r="R53" s="16"/>
      <c r="S53" s="16"/>
      <c r="T53" s="16"/>
      <c r="U53" s="12"/>
      <c r="W53" s="258" t="s">
        <v>189</v>
      </c>
      <c r="X53" s="240"/>
      <c r="Z53" s="240" t="s">
        <v>495</v>
      </c>
      <c r="AA53" s="240">
        <f>IF($AA$16&gt;0,0,1)+$Z$63</f>
        <v>1</v>
      </c>
      <c r="AB53" s="240"/>
      <c r="AF53" s="275">
        <f>IF($I$12="Fenouil - CUIT",-2,0)</f>
        <v>0</v>
      </c>
      <c r="AM53" s="21" t="s">
        <v>223</v>
      </c>
      <c r="AN53" s="21" t="e">
        <f>VLOOKUP($AF$58,$CG$4:$DD$27,17,0)</f>
        <v>#N/A</v>
      </c>
      <c r="AO53" s="21" t="e">
        <f>IF(ROUND((100*$AI$39)/SUM($AE$39:$AI$39),2)&gt;$AN$53,1,0)</f>
        <v>#N/A</v>
      </c>
      <c r="AP53" s="21" t="s">
        <v>600</v>
      </c>
      <c r="AQ53" s="21" t="e">
        <f>VLOOKUP($AF$58,$CG$4:$DD$27,23,0)</f>
        <v>#N/A</v>
      </c>
      <c r="AR53" s="21" t="e">
        <f>IF($AK$21&gt;$AQ$53,1,0)</f>
        <v>#N/A</v>
      </c>
      <c r="AS53" s="21" t="e">
        <f>IF(ROUND((100*$AI$39)/SUM($AE$39:$AI$39),2)&gt;$AT$57,1,0)+$AO$53</f>
        <v>#N/A</v>
      </c>
      <c r="AT53" s="21" t="e">
        <f>IF($AK$21&gt;$AQ$56,1,0)+$AR$53</f>
        <v>#N/A</v>
      </c>
      <c r="AW53" s="21"/>
      <c r="AX53" s="21"/>
      <c r="AY53" s="21"/>
      <c r="AZ53" s="21"/>
      <c r="BA53" s="21"/>
      <c r="BB53" s="21"/>
      <c r="BC53" s="21"/>
      <c r="BD53" s="232"/>
      <c r="BE53" s="232"/>
      <c r="BF53" s="232"/>
      <c r="BG53" s="232"/>
      <c r="BH53" s="232"/>
      <c r="BI53" s="232"/>
      <c r="BJ53" s="232"/>
      <c r="BK53" s="232"/>
      <c r="BL53" s="21"/>
      <c r="BM53" s="21"/>
      <c r="BP53" s="240" t="str">
        <f>CMV!$A$5</f>
        <v>Sofcanis adu./croiss. poudre</v>
      </c>
      <c r="BQ53" s="286"/>
      <c r="BR53" s="286"/>
      <c r="BS53" s="286"/>
      <c r="BT53" s="286"/>
      <c r="BU53" s="286"/>
      <c r="BY53" s="265" t="s">
        <v>647</v>
      </c>
      <c r="BZ53" s="266">
        <v>1</v>
      </c>
      <c r="CG53" s="240" t="str">
        <f t="shared" si="3"/>
        <v>Chiot (10-20kg adulte) 6 à 9 mois</v>
      </c>
      <c r="CH53" s="21"/>
      <c r="CI53" s="21">
        <v>3.5</v>
      </c>
      <c r="CJ53" s="21">
        <v>3</v>
      </c>
      <c r="DH53" s="21">
        <f>HLS!$A52</f>
        <v>0</v>
      </c>
      <c r="DI53" s="21">
        <f>LGS!$A52</f>
        <v>0</v>
      </c>
      <c r="DJ53" s="21">
        <f>FCS!$A52</f>
        <v>0</v>
      </c>
      <c r="DK53" s="21">
        <f>VDS!$A52</f>
        <v>0</v>
      </c>
      <c r="DL53" s="264"/>
      <c r="DM53" s="21">
        <f>'OPT1'!$A52</f>
        <v>0</v>
      </c>
      <c r="DN53" s="21">
        <f>'OPT2'!$A52</f>
        <v>0</v>
      </c>
    </row>
    <row r="54" spans="1:118" ht="25.2" customHeight="1">
      <c r="A54" s="3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9"/>
      <c r="O54" s="29"/>
      <c r="P54" s="29"/>
      <c r="Q54" s="29"/>
      <c r="R54" s="16"/>
      <c r="S54" s="16"/>
      <c r="T54" s="16"/>
      <c r="U54" s="12"/>
      <c r="W54" s="258" t="s">
        <v>188</v>
      </c>
      <c r="X54" s="258"/>
      <c r="Z54" s="258" t="s">
        <v>137</v>
      </c>
      <c r="AA54" s="258">
        <f>SUM($AA$39:$AA$46)</f>
        <v>0</v>
      </c>
      <c r="AB54" s="21" t="s">
        <v>784</v>
      </c>
      <c r="AD54" s="249" t="s">
        <v>505</v>
      </c>
      <c r="AE54" s="21" t="str">
        <f>CTRL!B24</f>
        <v>actif</v>
      </c>
      <c r="AF54" s="275">
        <f>MIN(AF49:AF53)</f>
        <v>0</v>
      </c>
      <c r="AM54" s="21" t="s">
        <v>1106</v>
      </c>
      <c r="AN54" s="21" t="e">
        <f>$AI$60+10</f>
        <v>#N/A</v>
      </c>
      <c r="AO54" s="21" t="e">
        <f>IF($AI$60&gt;1,IF(ROUND($AE$39/$Z$23*1000,0)&gt;$AN$54,1,0),0)</f>
        <v>#N/A</v>
      </c>
      <c r="AP54" s="288" t="s">
        <v>239</v>
      </c>
      <c r="AQ54" s="289" t="e">
        <f>SUM($AO$46:$AO$55)+SUM($AR$46:$AR$53)</f>
        <v>#N/A</v>
      </c>
      <c r="AR54" s="289"/>
      <c r="AS54" s="290" t="e">
        <f>SUM($AS$47:$AS$53)+SUM($AT$47:$AT$53)</f>
        <v>#N/A</v>
      </c>
      <c r="AT54" s="21">
        <v>10</v>
      </c>
      <c r="AW54" s="21"/>
      <c r="AX54" s="21"/>
      <c r="AY54" s="21"/>
      <c r="AZ54" s="21"/>
      <c r="BA54" s="21"/>
      <c r="BB54" s="21"/>
      <c r="BC54" s="21"/>
      <c r="BD54" s="232"/>
      <c r="BE54" s="232"/>
      <c r="BF54" s="232"/>
      <c r="BG54" s="232"/>
      <c r="BH54" s="232"/>
      <c r="BI54" s="232"/>
      <c r="BJ54" s="232"/>
      <c r="BK54" s="232"/>
      <c r="BL54" s="21"/>
      <c r="BM54" s="21"/>
      <c r="BP54" s="240" t="str">
        <f>CMV!$A$2</f>
        <v>Petphos Ca/P=2 (chien &lt;25kg)</v>
      </c>
      <c r="BQ54" s="286"/>
      <c r="BR54" s="286"/>
      <c r="BS54" s="286"/>
      <c r="BT54" s="286"/>
      <c r="BU54" s="286"/>
      <c r="BY54" s="265" t="s">
        <v>648</v>
      </c>
      <c r="BZ54" s="266">
        <v>1</v>
      </c>
      <c r="CG54" s="240" t="str">
        <f t="shared" si="3"/>
        <v>Chiot (10-20kg adulte) 10 à 12 mois</v>
      </c>
      <c r="CH54" s="21"/>
      <c r="CI54" s="21">
        <v>3.5</v>
      </c>
      <c r="CJ54" s="21">
        <v>3</v>
      </c>
      <c r="DH54" s="21">
        <f>HLS!$A53</f>
        <v>0</v>
      </c>
      <c r="DI54" s="21">
        <f>LGS!$A53</f>
        <v>0</v>
      </c>
      <c r="DJ54" s="21">
        <f>FCS!$A53</f>
        <v>0</v>
      </c>
      <c r="DK54" s="21">
        <f>VDS!$A53</f>
        <v>0</v>
      </c>
      <c r="DL54" s="264"/>
      <c r="DM54" s="21">
        <f>'OPT1'!$A53</f>
        <v>0</v>
      </c>
      <c r="DN54" s="21">
        <f>'OPT2'!$A53</f>
        <v>0</v>
      </c>
    </row>
    <row r="55" spans="1:118" ht="25.2" customHeight="1">
      <c r="A55" s="30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9"/>
      <c r="O55" s="29"/>
      <c r="P55" s="29"/>
      <c r="Q55" s="29"/>
      <c r="R55" s="16"/>
      <c r="S55" s="16"/>
      <c r="T55" s="16"/>
      <c r="U55" s="12"/>
      <c r="Z55" s="258" t="s">
        <v>135</v>
      </c>
      <c r="AA55" s="258">
        <f>SUM($AA$39:$AA$53)+$AB$48+$X$103+$AJ$9+$AB$51</f>
        <v>0</v>
      </c>
      <c r="AB55" s="21">
        <f>SUM($AA$49:$AA$52)</f>
        <v>0</v>
      </c>
      <c r="AD55" s="291"/>
      <c r="AE55" s="291"/>
      <c r="AF55" s="291"/>
      <c r="AG55" s="291"/>
      <c r="AH55" s="291"/>
      <c r="AI55" s="291"/>
      <c r="AM55" s="21" t="s">
        <v>782</v>
      </c>
      <c r="AN55" s="21">
        <v>1</v>
      </c>
      <c r="AO55" s="21" t="e">
        <f>IF($AJ$40&lt;$AN$55,1,0)</f>
        <v>#N/A</v>
      </c>
      <c r="AP55" s="21" t="s">
        <v>1048</v>
      </c>
      <c r="AQ55" s="21" t="e">
        <f>VLOOKUP($AF$58,$CG$47:$CJ$70,3,0)</f>
        <v>#N/A</v>
      </c>
      <c r="AS55" s="290">
        <f>IF($AA$55=15,IF($AQ$54&gt;0,2,IF($AS$54&gt;0,1,0)),0)</f>
        <v>0</v>
      </c>
      <c r="AT55" s="253" t="s">
        <v>594</v>
      </c>
      <c r="AW55" s="21"/>
      <c r="AX55" s="21"/>
      <c r="AY55" s="21"/>
      <c r="AZ55" s="21"/>
      <c r="BA55" s="21"/>
      <c r="BB55" s="21"/>
      <c r="BC55" s="21"/>
      <c r="BD55" s="232"/>
      <c r="BE55" s="232"/>
      <c r="BF55" s="232"/>
      <c r="BG55" s="232"/>
      <c r="BH55" s="232"/>
      <c r="BI55" s="232"/>
      <c r="BJ55" s="232"/>
      <c r="BK55" s="232"/>
      <c r="BL55" s="21"/>
      <c r="BP55" s="240" t="str">
        <f>CMV!$A$3</f>
        <v>Petphos Ca/P=2 (grand chien)</v>
      </c>
      <c r="BQ55" s="286"/>
      <c r="BR55" s="286"/>
      <c r="BS55" s="286"/>
      <c r="BT55" s="286"/>
      <c r="BU55" s="286"/>
      <c r="BY55" s="265" t="s">
        <v>649</v>
      </c>
      <c r="BZ55" s="266">
        <v>1</v>
      </c>
      <c r="CG55" s="240" t="str">
        <f t="shared" si="3"/>
        <v xml:space="preserve">Chiot (20-35kg adulte) 3 à 6 mois </v>
      </c>
      <c r="CH55" s="21"/>
      <c r="CI55" s="21">
        <v>3.5</v>
      </c>
      <c r="CJ55" s="21">
        <v>3</v>
      </c>
      <c r="DH55" s="21">
        <f>HLS!$A54</f>
        <v>0</v>
      </c>
      <c r="DI55" s="21">
        <f>LGS!$A54</f>
        <v>0</v>
      </c>
      <c r="DJ55" s="21">
        <f>FCS!$A54</f>
        <v>0</v>
      </c>
      <c r="DK55" s="21">
        <f>VDS!$A54</f>
        <v>0</v>
      </c>
      <c r="DL55" s="264"/>
      <c r="DM55" s="21">
        <f>'OPT1'!$A54</f>
        <v>0</v>
      </c>
      <c r="DN55" s="21">
        <f>'OPT2'!$A54</f>
        <v>0</v>
      </c>
    </row>
    <row r="56" spans="1:118" ht="25.2" customHeight="1">
      <c r="A56" s="30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9"/>
      <c r="O56" s="29"/>
      <c r="P56" s="29"/>
      <c r="Q56" s="29"/>
      <c r="R56" s="16"/>
      <c r="S56" s="16"/>
      <c r="T56" s="16"/>
      <c r="U56" s="12"/>
      <c r="AM56" s="230"/>
      <c r="AN56" s="230"/>
      <c r="AO56" s="230"/>
      <c r="AP56" s="21" t="s">
        <v>1049</v>
      </c>
      <c r="AQ56" s="21" t="e">
        <f>VLOOKUP($AF$58,$CG$47:$CJ$70,4,0)</f>
        <v>#N/A</v>
      </c>
      <c r="AR56" s="230"/>
      <c r="AS56" s="230"/>
      <c r="AT56" s="253" t="s">
        <v>1086</v>
      </c>
      <c r="AW56" s="21"/>
      <c r="AX56" s="21"/>
      <c r="AY56" s="21"/>
      <c r="AZ56" s="21"/>
      <c r="BA56" s="21"/>
      <c r="BB56" s="21"/>
      <c r="BC56" s="21"/>
      <c r="BD56" s="232"/>
      <c r="BE56" s="232"/>
      <c r="BF56" s="232"/>
      <c r="BG56" s="232"/>
      <c r="BH56" s="232"/>
      <c r="BI56" s="232"/>
      <c r="BJ56" s="232"/>
      <c r="BK56" s="232"/>
      <c r="BL56" s="21"/>
      <c r="BP56" s="240" t="str">
        <f>CMV!$A$18</f>
        <v>Vitamin Optimix Cooking</v>
      </c>
      <c r="BQ56" s="286"/>
      <c r="BR56" s="286"/>
      <c r="BS56" s="286"/>
      <c r="BT56" s="286"/>
      <c r="BU56" s="286"/>
      <c r="BY56" s="265" t="s">
        <v>56</v>
      </c>
      <c r="BZ56" s="266">
        <v>1</v>
      </c>
      <c r="CG56" s="240" t="str">
        <f t="shared" si="3"/>
        <v xml:space="preserve">Chiot (20-35kg adulte) 7 à 8 mois </v>
      </c>
      <c r="CH56" s="21"/>
      <c r="CI56" s="21">
        <v>3.5</v>
      </c>
      <c r="CJ56" s="21">
        <v>3</v>
      </c>
      <c r="DH56" s="21">
        <f>HLS!$A55</f>
        <v>0</v>
      </c>
      <c r="DI56" s="21">
        <f>LGS!$A55</f>
        <v>0</v>
      </c>
      <c r="DJ56" s="21">
        <f>FCS!$A55</f>
        <v>0</v>
      </c>
      <c r="DK56" s="21">
        <f>VDS!$A55</f>
        <v>0</v>
      </c>
      <c r="DL56" s="264"/>
      <c r="DM56" s="21">
        <f>'OPT1'!$A55</f>
        <v>0</v>
      </c>
      <c r="DN56" s="21">
        <f>'OPT2'!$A55</f>
        <v>0</v>
      </c>
    </row>
    <row r="57" spans="1:118" ht="25.2" customHeight="1">
      <c r="A57" s="30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9"/>
      <c r="O57" s="29"/>
      <c r="P57" s="29"/>
      <c r="Q57" s="29"/>
      <c r="R57" s="16"/>
      <c r="S57" s="16"/>
      <c r="T57" s="16"/>
      <c r="U57" s="12"/>
      <c r="W57" s="21">
        <f>IF($G$12=$DN$3,0,IF($G$12="",0,IF($G$13="",0,1)))</f>
        <v>0</v>
      </c>
      <c r="X57" s="21" t="s">
        <v>354</v>
      </c>
      <c r="Z57" s="21" t="s">
        <v>288</v>
      </c>
      <c r="AA57" s="21" t="s">
        <v>505</v>
      </c>
      <c r="AB57" s="230"/>
      <c r="AE57" s="243" t="s">
        <v>164</v>
      </c>
      <c r="AF57" s="232"/>
      <c r="AG57" s="232"/>
      <c r="AH57" s="232"/>
      <c r="AI57" s="232"/>
      <c r="AM57" s="21" t="s">
        <v>935</v>
      </c>
      <c r="AN57" s="21" t="e">
        <f>IF($AJ$11=1,0,VLOOKUP($C$23,$CB$40:$CE$44,4,0))*2</f>
        <v>#N/A</v>
      </c>
      <c r="AO57" s="21" t="e">
        <f>IF($AN$57&lt;0,$AN$57,0)</f>
        <v>#N/A</v>
      </c>
      <c r="AP57" s="230"/>
      <c r="AQ57" s="230"/>
      <c r="AR57" s="230"/>
      <c r="AS57" s="292" t="s">
        <v>207</v>
      </c>
      <c r="AT57" s="21">
        <v>9</v>
      </c>
      <c r="AW57" s="21"/>
      <c r="AX57" s="21"/>
      <c r="AY57" s="21"/>
      <c r="AZ57" s="21"/>
      <c r="BA57" s="21"/>
      <c r="BB57" s="21"/>
      <c r="BC57" s="21"/>
      <c r="BD57" s="232"/>
      <c r="BE57" s="232"/>
      <c r="BF57" s="232"/>
      <c r="BG57" s="232"/>
      <c r="BH57" s="232"/>
      <c r="BI57" s="232"/>
      <c r="BJ57" s="232"/>
      <c r="BK57" s="232"/>
      <c r="BL57" s="21"/>
      <c r="BP57" s="240" t="str">
        <f>CMV!$A$19</f>
        <v>Vitamin Optimix Sensitive</v>
      </c>
      <c r="BQ57" s="286"/>
      <c r="BR57" s="286"/>
      <c r="BS57" s="286"/>
      <c r="BT57" s="286"/>
      <c r="BU57" s="286"/>
      <c r="BY57" s="265" t="s">
        <v>57</v>
      </c>
      <c r="BZ57" s="266">
        <v>1.1000000000000001</v>
      </c>
      <c r="CG57" s="240" t="str">
        <f t="shared" si="3"/>
        <v>Chiot (20-35kg adulte) 9 à 10 mois</v>
      </c>
      <c r="CH57" s="21"/>
      <c r="CI57" s="21">
        <v>3.5</v>
      </c>
      <c r="CJ57" s="21">
        <v>3</v>
      </c>
      <c r="DH57" s="21">
        <f>HLS!$A56</f>
        <v>0</v>
      </c>
      <c r="DI57" s="21">
        <f>LGS!$A56</f>
        <v>0</v>
      </c>
      <c r="DJ57" s="21">
        <f>FCS!$A56</f>
        <v>0</v>
      </c>
      <c r="DK57" s="21">
        <f>VDS!$A56</f>
        <v>0</v>
      </c>
      <c r="DL57" s="264"/>
      <c r="DM57" s="21">
        <f>'OPT1'!$A56</f>
        <v>0</v>
      </c>
      <c r="DN57" s="21">
        <f>'OPT2'!$A56</f>
        <v>0</v>
      </c>
    </row>
    <row r="58" spans="1:118" ht="20.3" customHeight="1">
      <c r="A58" s="2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9"/>
      <c r="O58" s="29"/>
      <c r="P58" s="29"/>
      <c r="Q58" s="29"/>
      <c r="R58" s="16"/>
      <c r="S58" s="16"/>
      <c r="T58" s="16"/>
      <c r="U58" s="12"/>
      <c r="W58" s="21">
        <f>IF($W$57&gt;0,HLOOKUP($G$13,$X$77:$AA$78,2,0),0)</f>
        <v>0</v>
      </c>
      <c r="X58" s="21" t="s">
        <v>142</v>
      </c>
      <c r="Z58" s="21" t="s">
        <v>194</v>
      </c>
      <c r="AA58" s="232" t="str">
        <f>CTRL!B8</f>
        <v>actif</v>
      </c>
      <c r="AB58" s="230"/>
      <c r="AE58" s="258" t="s">
        <v>162</v>
      </c>
      <c r="AF58" s="293">
        <f>$C$20</f>
        <v>0</v>
      </c>
      <c r="AG58" s="293"/>
      <c r="AH58" s="293"/>
      <c r="AI58" s="21" t="e">
        <f>VLOOKUP($AF$58,$CG$4:$CO$27,8,0)</f>
        <v>#N/A</v>
      </c>
      <c r="AM58" s="230"/>
      <c r="AN58" s="230"/>
      <c r="AO58" s="230"/>
      <c r="AP58" s="230"/>
      <c r="AQ58" s="230"/>
      <c r="AR58" s="230"/>
      <c r="AS58" s="292" t="s">
        <v>204</v>
      </c>
      <c r="AW58" s="21"/>
      <c r="AX58" s="21"/>
      <c r="AY58" s="21"/>
      <c r="AZ58" s="21"/>
      <c r="BA58" s="21"/>
      <c r="BB58" s="21"/>
      <c r="BC58" s="21"/>
      <c r="BD58" s="232"/>
      <c r="BE58" s="232"/>
      <c r="BF58" s="232"/>
      <c r="BG58" s="232"/>
      <c r="BH58" s="232"/>
      <c r="BI58" s="232"/>
      <c r="BJ58" s="232"/>
      <c r="BK58" s="232"/>
      <c r="BL58" s="21"/>
      <c r="BP58" s="240" t="str">
        <f>CMV!$A$8</f>
        <v>Kyli Poudre de vimin</v>
      </c>
      <c r="BQ58" s="286"/>
      <c r="BR58" s="286"/>
      <c r="BS58" s="286"/>
      <c r="BT58" s="286"/>
      <c r="BU58" s="286"/>
      <c r="BY58" s="265" t="s">
        <v>650</v>
      </c>
      <c r="BZ58" s="266">
        <v>1</v>
      </c>
      <c r="CG58" s="240" t="str">
        <f t="shared" si="3"/>
        <v>Chiot (20-35kg adulte) 11 à 15 mois</v>
      </c>
      <c r="CH58" s="21"/>
      <c r="CI58" s="21">
        <v>3.5</v>
      </c>
      <c r="CJ58" s="21">
        <v>3</v>
      </c>
      <c r="DH58" s="21">
        <f>HLS!$A57</f>
        <v>0</v>
      </c>
      <c r="DI58" s="21">
        <f>LGS!$A57</f>
        <v>0</v>
      </c>
      <c r="DJ58" s="21">
        <f>FCS!$A57</f>
        <v>0</v>
      </c>
      <c r="DK58" s="21">
        <f>VDS!$A57</f>
        <v>0</v>
      </c>
      <c r="DL58" s="264"/>
      <c r="DM58" s="21">
        <f>'OPT1'!$A57</f>
        <v>0</v>
      </c>
      <c r="DN58" s="21">
        <f>'OPT2'!$A57</f>
        <v>0</v>
      </c>
    </row>
    <row r="59" spans="1:118" ht="25.2" customHeight="1">
      <c r="A59" s="29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9"/>
      <c r="O59" s="29"/>
      <c r="P59" s="29"/>
      <c r="Q59" s="29"/>
      <c r="R59" s="16"/>
      <c r="S59" s="16"/>
      <c r="T59" s="16"/>
      <c r="U59" s="12"/>
      <c r="W59" s="21">
        <f>IF($W$57&gt;0,VLOOKUP($G$12,'OPT2'!$A$2:$AC$100,2,0)*$W$58/100,0)</f>
        <v>0</v>
      </c>
      <c r="X59" s="21" t="s">
        <v>145</v>
      </c>
      <c r="Z59" s="21">
        <f>IF(ISNUMBER($C$15),ROUNDDOWN($C$15,-1),0)</f>
        <v>0</v>
      </c>
      <c r="AA59" s="232"/>
      <c r="AB59" s="230"/>
      <c r="AE59" s="274" t="str">
        <f>"Facteur de correction    "</f>
        <v xml:space="preserve">Facteur de correction    </v>
      </c>
      <c r="AF59" s="274"/>
      <c r="AG59" s="274"/>
      <c r="AH59" s="274"/>
      <c r="AI59" s="21">
        <f>IF($E$19&gt;1,1,$E$19)*IF($E$20&gt;1,1,$E$20)*IF($E$22&gt;1,1,$E$22)*IF($E$23&gt;1,1,$E$23)</f>
        <v>1</v>
      </c>
      <c r="AM59" s="243" t="s">
        <v>502</v>
      </c>
      <c r="AN59" s="243"/>
      <c r="AO59" s="230"/>
      <c r="AP59" s="230"/>
      <c r="AQ59" s="230"/>
      <c r="AR59" s="230"/>
      <c r="AS59" s="292" t="s">
        <v>205</v>
      </c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P59" s="240"/>
      <c r="BQ59" s="286"/>
      <c r="BR59" s="286"/>
      <c r="BS59" s="286"/>
      <c r="BT59" s="286"/>
      <c r="BU59" s="286"/>
      <c r="BY59" s="265" t="s">
        <v>651</v>
      </c>
      <c r="BZ59" s="266">
        <v>1</v>
      </c>
      <c r="CA59" s="262">
        <v>1</v>
      </c>
      <c r="CG59" s="240" t="str">
        <f t="shared" si="3"/>
        <v xml:space="preserve">Chiot (35-50kg adulte) 3 à 5 mois </v>
      </c>
      <c r="CH59" s="21"/>
      <c r="CI59" s="21">
        <v>3.5</v>
      </c>
      <c r="CJ59" s="21">
        <v>3</v>
      </c>
      <c r="DH59" s="21">
        <f>HLS!$A58</f>
        <v>0</v>
      </c>
      <c r="DI59" s="21">
        <f>LGS!$A58</f>
        <v>0</v>
      </c>
      <c r="DJ59" s="21">
        <f>FCS!$A58</f>
        <v>0</v>
      </c>
      <c r="DK59" s="21">
        <f>VDS!$A58</f>
        <v>0</v>
      </c>
      <c r="DL59" s="264"/>
      <c r="DM59" s="21">
        <f>'OPT1'!$A58</f>
        <v>0</v>
      </c>
      <c r="DN59" s="21">
        <f>'OPT2'!$A58</f>
        <v>0</v>
      </c>
    </row>
    <row r="60" spans="1:118" ht="25.2" customHeight="1">
      <c r="A60" s="29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9"/>
      <c r="O60" s="29"/>
      <c r="P60" s="29"/>
      <c r="Q60" s="29"/>
      <c r="R60" s="16"/>
      <c r="S60" s="16"/>
      <c r="T60" s="16"/>
      <c r="U60" s="12"/>
      <c r="Z60" s="21" t="s">
        <v>191</v>
      </c>
      <c r="AB60" s="230"/>
      <c r="AD60" s="237"/>
      <c r="AE60" s="274" t="str">
        <f>"Lock à RPC MAXIMUM (si différent de 1)    "</f>
        <v xml:space="preserve">Lock à RPC MAXIMUM (si différent de 1)    </v>
      </c>
      <c r="AF60" s="274"/>
      <c r="AG60" s="274"/>
      <c r="AH60" s="274"/>
      <c r="AI60" s="21" t="e">
        <f>VLOOKUP($AF$58,$CG$4:$CO$27,9,0)</f>
        <v>#N/A</v>
      </c>
      <c r="AJ60" s="275" t="s">
        <v>226</v>
      </c>
      <c r="AM60" s="21" t="s">
        <v>498</v>
      </c>
      <c r="AN60" s="21" t="s">
        <v>500</v>
      </c>
      <c r="AO60" s="230"/>
      <c r="AP60" s="230"/>
      <c r="AQ60" s="230"/>
      <c r="AR60" s="230"/>
      <c r="AS60" s="292" t="s">
        <v>206</v>
      </c>
      <c r="AW60" s="21"/>
      <c r="AX60" s="21"/>
      <c r="AY60" s="21"/>
      <c r="AZ60" s="21"/>
      <c r="BA60" s="21"/>
      <c r="BB60" s="21"/>
      <c r="BC60" s="21"/>
      <c r="BD60" s="21"/>
      <c r="BE60" s="21"/>
      <c r="BP60" s="240"/>
      <c r="BQ60" s="286"/>
      <c r="BR60" s="286"/>
      <c r="BS60" s="286"/>
      <c r="BT60" s="286"/>
      <c r="BU60" s="286"/>
      <c r="BY60" s="265" t="s">
        <v>652</v>
      </c>
      <c r="BZ60" s="266">
        <v>1.1000000000000001</v>
      </c>
      <c r="CG60" s="240" t="str">
        <f t="shared" si="3"/>
        <v xml:space="preserve">Chiot (35-50kg adulte) 6 à 7 mois </v>
      </c>
      <c r="CH60" s="21"/>
      <c r="CI60" s="21">
        <v>3.5</v>
      </c>
      <c r="CJ60" s="21">
        <v>3</v>
      </c>
      <c r="DH60" s="21">
        <f>HLS!$A59</f>
        <v>0</v>
      </c>
      <c r="DI60" s="21">
        <f>LGS!$A59</f>
        <v>0</v>
      </c>
      <c r="DJ60" s="21">
        <f>FCS!$A59</f>
        <v>0</v>
      </c>
      <c r="DK60" s="21">
        <f>VDS!$A59</f>
        <v>0</v>
      </c>
      <c r="DL60" s="264"/>
      <c r="DM60" s="21">
        <f>'OPT1'!$A59</f>
        <v>0</v>
      </c>
      <c r="DN60" s="21">
        <f>'OPT2'!$A59</f>
        <v>0</v>
      </c>
    </row>
    <row r="61" spans="1:118" ht="25.2" customHeight="1">
      <c r="A61" s="15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N61" s="152"/>
      <c r="O61" s="152"/>
      <c r="P61" s="152"/>
      <c r="Q61" s="152"/>
      <c r="R61" s="16"/>
      <c r="S61" s="16"/>
      <c r="T61" s="16"/>
      <c r="U61" s="12"/>
      <c r="W61" s="21">
        <f>IF($G$11=$DM$3,0,IF($G$11="",0,1))</f>
        <v>0</v>
      </c>
      <c r="X61" s="21" t="s">
        <v>143</v>
      </c>
      <c r="Z61" s="21">
        <f>IF($Z$59&lt;10,1,$Z$59/10)</f>
        <v>1</v>
      </c>
      <c r="AB61" s="230"/>
      <c r="AE61" s="274" t="str">
        <f>"RESULTAT RPC MINIMUM BRUT DE CALCUL    "</f>
        <v xml:space="preserve">RESULTAT RPC MINIMUM BRUT DE CALCUL    </v>
      </c>
      <c r="AF61" s="274"/>
      <c r="AG61" s="274"/>
      <c r="AH61" s="274"/>
      <c r="AI61" s="259" t="e">
        <f>IF($AI$60=1,$AI$58/$AI$59,IF($AI$58/$AI$59&gt;$AI$60,$AI$60,$AI$58/$AI$59))</f>
        <v>#N/A</v>
      </c>
      <c r="AJ61" s="259" t="e">
        <f>$AI$58/$AI$59</f>
        <v>#N/A</v>
      </c>
      <c r="AM61" s="21" t="s">
        <v>499</v>
      </c>
      <c r="AN61" s="21" t="s">
        <v>501</v>
      </c>
      <c r="AO61" s="230"/>
      <c r="AP61" s="230"/>
      <c r="AQ61" s="230"/>
      <c r="AR61" s="230"/>
      <c r="AS61" s="292" t="s">
        <v>215</v>
      </c>
      <c r="AW61" s="21"/>
      <c r="AX61" s="21"/>
      <c r="AY61" s="21"/>
      <c r="AZ61" s="21"/>
      <c r="BA61" s="21"/>
      <c r="BB61" s="21"/>
      <c r="BC61" s="21"/>
      <c r="BD61" s="21"/>
      <c r="BE61" s="21"/>
      <c r="BP61" s="240"/>
      <c r="BQ61" s="240"/>
      <c r="BR61" s="240"/>
      <c r="BS61" s="240"/>
      <c r="BT61" s="240"/>
      <c r="BU61" s="240"/>
      <c r="BY61" s="265" t="s">
        <v>653</v>
      </c>
      <c r="BZ61" s="266">
        <v>1</v>
      </c>
      <c r="CG61" s="240" t="str">
        <f t="shared" si="3"/>
        <v xml:space="preserve">Chiot (35-50kg adulte) 8 à 13 mois </v>
      </c>
      <c r="CH61" s="21"/>
      <c r="CI61" s="21">
        <v>3.5</v>
      </c>
      <c r="CJ61" s="21">
        <v>3</v>
      </c>
      <c r="DH61" s="21">
        <f>HLS!$A60</f>
        <v>0</v>
      </c>
      <c r="DI61" s="21">
        <f>LGS!$A60</f>
        <v>0</v>
      </c>
      <c r="DJ61" s="21">
        <f>FCS!$A60</f>
        <v>0</v>
      </c>
      <c r="DK61" s="21">
        <f>VDS!$A60</f>
        <v>0</v>
      </c>
      <c r="DL61" s="264"/>
      <c r="DM61" s="21">
        <f>'OPT1'!$A60</f>
        <v>0</v>
      </c>
      <c r="DN61" s="21">
        <f>'OPT2'!$A60</f>
        <v>0</v>
      </c>
    </row>
    <row r="62" spans="1:118" ht="25.2" customHeight="1">
      <c r="A62" s="15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N62" s="152"/>
      <c r="O62" s="152"/>
      <c r="P62" s="152"/>
      <c r="Q62" s="152"/>
      <c r="R62" s="16"/>
      <c r="S62" s="16"/>
      <c r="T62" s="16"/>
      <c r="W62" s="21">
        <f>IF($W$61&gt;0,VLOOKUP($G$11,'OPT1'!$A$2:$AC$100,19,0),0)</f>
        <v>0</v>
      </c>
      <c r="X62" s="21" t="s">
        <v>144</v>
      </c>
      <c r="Z62" s="21" t="s">
        <v>192</v>
      </c>
      <c r="AB62" s="230"/>
      <c r="AE62" s="274" t="str">
        <f>"RESULTAT RPC MINIMUM ARRONDI    "</f>
        <v xml:space="preserve">RESULTAT RPC MINIMUM ARRONDI    </v>
      </c>
      <c r="AF62" s="274"/>
      <c r="AG62" s="274"/>
      <c r="AH62" s="274"/>
      <c r="AI62" s="21" t="e">
        <f>ROUND($AI$61,0)</f>
        <v>#N/A</v>
      </c>
      <c r="AJ62" s="21" t="e">
        <f>ROUND($AI$62*$Z$32/1000,2)</f>
        <v>#N/A</v>
      </c>
      <c r="AK62" s="230" t="s">
        <v>931</v>
      </c>
      <c r="AM62" s="230"/>
      <c r="AN62" s="230"/>
      <c r="AO62" s="230"/>
      <c r="AP62" s="230"/>
      <c r="AQ62" s="230"/>
      <c r="AR62" s="230"/>
      <c r="AS62" s="230"/>
      <c r="AW62" s="21"/>
      <c r="AX62" s="21"/>
      <c r="AY62" s="21"/>
      <c r="AZ62" s="21"/>
      <c r="BA62" s="21"/>
      <c r="BB62" s="21"/>
      <c r="BC62" s="21"/>
      <c r="BD62" s="21"/>
      <c r="BE62" s="21"/>
      <c r="BY62" s="265" t="s">
        <v>654</v>
      </c>
      <c r="BZ62" s="266">
        <v>1</v>
      </c>
      <c r="CG62" s="240" t="str">
        <f t="shared" si="3"/>
        <v xml:space="preserve">Chiot (35-50kg adulte) 14 à 18 mois </v>
      </c>
      <c r="CH62" s="21"/>
      <c r="CI62" s="21">
        <v>3.5</v>
      </c>
      <c r="CJ62" s="21">
        <v>3</v>
      </c>
      <c r="DH62" s="21">
        <f>HLS!$A61</f>
        <v>0</v>
      </c>
      <c r="DI62" s="21">
        <f>LGS!$A61</f>
        <v>0</v>
      </c>
      <c r="DJ62" s="21">
        <f>FCS!$A61</f>
        <v>0</v>
      </c>
      <c r="DK62" s="21">
        <f>VDS!$A61</f>
        <v>0</v>
      </c>
      <c r="DL62" s="264"/>
      <c r="DM62" s="21">
        <f>'OPT1'!$A61</f>
        <v>0</v>
      </c>
      <c r="DN62" s="21">
        <f>'OPT2'!$A61</f>
        <v>0</v>
      </c>
    </row>
    <row r="63" spans="1:118" ht="25.2" customHeight="1">
      <c r="A63" s="15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N63" s="152"/>
      <c r="O63" s="152"/>
      <c r="P63" s="152"/>
      <c r="Q63" s="152"/>
      <c r="R63" s="16"/>
      <c r="S63" s="16"/>
      <c r="T63" s="16"/>
      <c r="W63" s="21">
        <f>IF($W$61&gt;0,VLOOKUP($G$11,'OPT1'!$A$2:$AC$100,2,0)*$W$64/100,0)</f>
        <v>0</v>
      </c>
      <c r="X63" s="21" t="s">
        <v>145</v>
      </c>
      <c r="Z63" s="21">
        <f>IF(CTRL!C8&gt;0,IF($W$62&gt;$Z$61,-1,0),0)</f>
        <v>0</v>
      </c>
      <c r="AB63" s="230"/>
      <c r="AW63" s="21"/>
      <c r="AX63" s="21"/>
      <c r="AY63" s="21"/>
      <c r="AZ63" s="21"/>
      <c r="BA63" s="21"/>
      <c r="BB63" s="21"/>
      <c r="BC63" s="21"/>
      <c r="BD63" s="21"/>
      <c r="BE63" s="21"/>
      <c r="BY63" s="265" t="s">
        <v>58</v>
      </c>
      <c r="BZ63" s="266">
        <v>0.8</v>
      </c>
      <c r="CG63" s="240" t="str">
        <f t="shared" si="3"/>
        <v xml:space="preserve">Chiot (&gt; 50kg adulte) 3 à 6 mois </v>
      </c>
      <c r="CH63" s="21"/>
      <c r="CI63" s="21">
        <v>3.5</v>
      </c>
      <c r="CJ63" s="21">
        <v>3</v>
      </c>
      <c r="DH63" s="21">
        <f>HLS!$A62</f>
        <v>0</v>
      </c>
      <c r="DI63" s="21">
        <f>LGS!$A62</f>
        <v>0</v>
      </c>
      <c r="DJ63" s="21">
        <f>FCS!$A62</f>
        <v>0</v>
      </c>
      <c r="DK63" s="21">
        <f>VDS!$A62</f>
        <v>0</v>
      </c>
      <c r="DL63" s="264"/>
      <c r="DM63" s="21">
        <f>'OPT1'!$A62</f>
        <v>0</v>
      </c>
      <c r="DN63" s="21">
        <f>'OPT2'!$A62</f>
        <v>0</v>
      </c>
    </row>
    <row r="64" spans="1:118" ht="25.2" customHeight="1">
      <c r="A64" s="15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N64" s="152"/>
      <c r="O64" s="152"/>
      <c r="P64" s="152"/>
      <c r="Q64" s="152"/>
      <c r="R64" s="16"/>
      <c r="S64" s="16"/>
      <c r="T64" s="16"/>
      <c r="W64" s="21">
        <f>IF($W$61=0,0,VLOOKUP($G$11,'OPT1'!$A$2:$AC$100,18,0))</f>
        <v>0</v>
      </c>
      <c r="X64" s="21" t="s">
        <v>146</v>
      </c>
      <c r="Z64" s="21" t="s">
        <v>193</v>
      </c>
      <c r="AB64" s="230"/>
      <c r="AD64" s="243" t="s">
        <v>231</v>
      </c>
      <c r="AE64" s="232"/>
      <c r="AF64" s="232"/>
      <c r="AG64" s="232"/>
      <c r="AH64" s="232"/>
      <c r="AI64" s="232"/>
      <c r="AJ64" s="232"/>
      <c r="AM64" s="243" t="s">
        <v>293</v>
      </c>
      <c r="AN64" s="232"/>
      <c r="AO64" s="232"/>
      <c r="AP64" s="232"/>
      <c r="AQ64" s="232"/>
      <c r="AR64" s="232"/>
      <c r="AS64" s="249" t="s">
        <v>505</v>
      </c>
      <c r="AT64" s="249" t="s">
        <v>917</v>
      </c>
      <c r="AU64" s="249" t="s">
        <v>918</v>
      </c>
      <c r="AW64" s="21"/>
      <c r="AX64" s="21"/>
      <c r="AY64" s="21"/>
      <c r="AZ64" s="21"/>
      <c r="BA64" s="21"/>
      <c r="BB64" s="21"/>
      <c r="BC64" s="21"/>
      <c r="BD64" s="21"/>
      <c r="BE64" s="21"/>
      <c r="BY64" s="265" t="s">
        <v>59</v>
      </c>
      <c r="BZ64" s="266">
        <v>0.9</v>
      </c>
      <c r="CG64" s="240" t="str">
        <f t="shared" si="3"/>
        <v xml:space="preserve">Chiot (&gt; 50kg adulte) 7 à 8 mois </v>
      </c>
      <c r="CH64" s="21"/>
      <c r="CI64" s="21">
        <v>3.5</v>
      </c>
      <c r="CJ64" s="21">
        <v>3</v>
      </c>
      <c r="DH64" s="21">
        <f>HLS!$A63</f>
        <v>0</v>
      </c>
      <c r="DI64" s="21">
        <f>LGS!$A63</f>
        <v>0</v>
      </c>
      <c r="DJ64" s="21">
        <f>FCS!$A63</f>
        <v>0</v>
      </c>
      <c r="DK64" s="21">
        <f>VDS!$A63</f>
        <v>0</v>
      </c>
      <c r="DL64" s="264"/>
      <c r="DM64" s="21">
        <f>'OPT1'!$A63</f>
        <v>0</v>
      </c>
      <c r="DN64" s="21">
        <f>'OPT2'!$A63</f>
        <v>0</v>
      </c>
    </row>
    <row r="65" spans="1:118" ht="25.2" customHeight="1">
      <c r="A65" s="15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N65" s="152"/>
      <c r="O65" s="152"/>
      <c r="P65" s="152"/>
      <c r="Q65" s="152"/>
      <c r="R65" s="16"/>
      <c r="S65" s="16"/>
      <c r="T65" s="16"/>
      <c r="AB65" s="230"/>
      <c r="AM65" s="232" t="s">
        <v>232</v>
      </c>
      <c r="AN65" s="232"/>
      <c r="AO65" s="232" t="e">
        <f>($Z$5+$Z$6)*VLOOKUP($I$7,$AD$24:$AL$28,9,0)</f>
        <v>#N/A</v>
      </c>
      <c r="AP65" s="232"/>
      <c r="AQ65" s="232" t="s">
        <v>292</v>
      </c>
      <c r="AR65" s="232"/>
      <c r="AS65" s="256" t="str">
        <f>CTRL!B10</f>
        <v>actif</v>
      </c>
      <c r="AT65" s="21" t="e">
        <f>ROUNDDOWN(($Z$32/100*$AO$66)/($AU$65*$M$14/100),0)*$AU$65</f>
        <v>#DIV/0!</v>
      </c>
      <c r="AU65" s="21">
        <f>CTRL!H17/2</f>
        <v>2.5</v>
      </c>
      <c r="AW65" s="21"/>
      <c r="AX65" s="243" t="s">
        <v>864</v>
      </c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1"/>
      <c r="BP65" s="243" t="s">
        <v>322</v>
      </c>
      <c r="BQ65" s="245"/>
      <c r="BR65" s="245"/>
      <c r="BS65" s="245"/>
      <c r="BT65" s="245"/>
      <c r="BU65" s="245"/>
      <c r="BY65" s="265" t="s">
        <v>655</v>
      </c>
      <c r="BZ65" s="266">
        <v>1</v>
      </c>
      <c r="CG65" s="240" t="str">
        <f t="shared" si="3"/>
        <v xml:space="preserve">Chiot (&gt; 50kg adulte) 9 à 13 mois </v>
      </c>
      <c r="CH65" s="21"/>
      <c r="CI65" s="21">
        <v>3.5</v>
      </c>
      <c r="CJ65" s="21">
        <v>3</v>
      </c>
      <c r="DH65" s="21">
        <f>HLS!$A64</f>
        <v>0</v>
      </c>
      <c r="DI65" s="21">
        <f>LGS!$A64</f>
        <v>0</v>
      </c>
      <c r="DJ65" s="21">
        <f>FCS!$A64</f>
        <v>0</v>
      </c>
      <c r="DK65" s="21">
        <f>VDS!$A64</f>
        <v>0</v>
      </c>
      <c r="DL65" s="264"/>
      <c r="DM65" s="21">
        <f>'OPT1'!$A64</f>
        <v>0</v>
      </c>
      <c r="DN65" s="21">
        <f>'OPT2'!$A64</f>
        <v>0</v>
      </c>
    </row>
    <row r="66" spans="1:118" ht="25.2" customHeight="1" thickBot="1">
      <c r="A66" s="15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N66" s="152"/>
      <c r="O66" s="152"/>
      <c r="P66" s="152"/>
      <c r="Q66" s="152"/>
      <c r="R66" s="16"/>
      <c r="S66" s="16"/>
      <c r="T66" s="16"/>
      <c r="W66" s="243" t="s">
        <v>172</v>
      </c>
      <c r="X66" s="238"/>
      <c r="Y66" s="238"/>
      <c r="Z66" s="238"/>
      <c r="AB66" s="230"/>
      <c r="AD66" s="243" t="s">
        <v>227</v>
      </c>
      <c r="AE66" s="243"/>
      <c r="AG66" s="243" t="s">
        <v>186</v>
      </c>
      <c r="AH66" s="232"/>
      <c r="AI66" s="232"/>
      <c r="AJ66" s="232"/>
      <c r="AM66" s="232" t="s">
        <v>254</v>
      </c>
      <c r="AN66" s="232"/>
      <c r="AO66" s="232">
        <f>CTRL!E10</f>
        <v>30</v>
      </c>
      <c r="AP66" s="232"/>
      <c r="AQ66" s="232"/>
      <c r="AR66" s="232"/>
      <c r="AS66" s="256"/>
      <c r="AT66" s="21" t="e">
        <f>ROUNDDOWN(($Z$32/100*$AO$66)/($AU$66*$M$14/100),0)*$AU$66</f>
        <v>#DIV/0!</v>
      </c>
      <c r="AU66" s="21">
        <f>CTRL!H19/2</f>
        <v>7.5</v>
      </c>
      <c r="AW66" s="21"/>
      <c r="AX66" s="21"/>
      <c r="AY66" s="21"/>
      <c r="AZ66" s="21"/>
      <c r="BA66" s="230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P66" s="240" t="str">
        <f>$AD$27</f>
        <v>PRO BARF (sans féculent)</v>
      </c>
      <c r="BQ66" s="240" t="s">
        <v>1079</v>
      </c>
      <c r="BR66" s="240"/>
      <c r="BS66" s="240"/>
      <c r="BT66" s="240"/>
      <c r="BU66" s="240"/>
      <c r="BY66" s="265" t="s">
        <v>656</v>
      </c>
      <c r="BZ66" s="266">
        <v>0.9</v>
      </c>
      <c r="CG66" s="240" t="str">
        <f t="shared" si="3"/>
        <v xml:space="preserve">Chiot (&gt; 50kg adulte) 14 à 21 mois </v>
      </c>
      <c r="CH66" s="21"/>
      <c r="CI66" s="21">
        <v>3.5</v>
      </c>
      <c r="CJ66" s="21">
        <v>3</v>
      </c>
      <c r="DH66" s="21">
        <f>HLS!$A65</f>
        <v>0</v>
      </c>
      <c r="DI66" s="21">
        <f>LGS!$A65</f>
        <v>0</v>
      </c>
      <c r="DJ66" s="21">
        <f>FCS!$A65</f>
        <v>0</v>
      </c>
      <c r="DK66" s="21">
        <f>VDS!$A65</f>
        <v>0</v>
      </c>
      <c r="DL66" s="264"/>
      <c r="DM66" s="21">
        <f>'OPT1'!$A65</f>
        <v>0</v>
      </c>
      <c r="DN66" s="21">
        <f>'OPT2'!$A65</f>
        <v>0</v>
      </c>
    </row>
    <row r="67" spans="1:118" ht="25.2" customHeight="1">
      <c r="A67" s="15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N67" s="152"/>
      <c r="O67" s="152"/>
      <c r="P67" s="152"/>
      <c r="Q67" s="152"/>
      <c r="R67" s="20"/>
      <c r="S67" s="140"/>
      <c r="T67" s="141"/>
      <c r="U67" s="141"/>
      <c r="W67" s="238"/>
      <c r="X67" s="238"/>
      <c r="Y67" s="238"/>
      <c r="Z67" s="238"/>
      <c r="AB67" s="230"/>
      <c r="AD67" s="21" t="s">
        <v>166</v>
      </c>
      <c r="AE67" s="269" t="e">
        <f>$AH$51</f>
        <v>#N/A</v>
      </c>
      <c r="AG67" s="232" t="s">
        <v>187</v>
      </c>
      <c r="AH67" s="232"/>
      <c r="AI67" s="284" t="e">
        <f>ROUNDDOWN($Z$35-$AE$52-$AE$67-$AS$70,0)</f>
        <v>#N/A</v>
      </c>
      <c r="AJ67" s="232"/>
      <c r="AM67" s="232" t="s">
        <v>255</v>
      </c>
      <c r="AN67" s="232"/>
      <c r="AO67" s="232" t="e">
        <f>IF($AO$65&gt;$AO$66,1,0)</f>
        <v>#N/A</v>
      </c>
      <c r="AP67" s="232"/>
      <c r="AQ67" s="232"/>
      <c r="AR67" s="232"/>
      <c r="AS67" s="243" t="s">
        <v>767</v>
      </c>
      <c r="AT67" s="243"/>
      <c r="AU67" s="249" t="s">
        <v>919</v>
      </c>
      <c r="AW67" s="21"/>
      <c r="AX67" s="21" t="s">
        <v>865</v>
      </c>
      <c r="AY67" s="21" t="s">
        <v>866</v>
      </c>
      <c r="AZ67" s="21" t="s">
        <v>867</v>
      </c>
      <c r="BA67" s="230" t="s">
        <v>869</v>
      </c>
      <c r="BB67" s="21"/>
      <c r="BC67" s="249" t="s">
        <v>505</v>
      </c>
      <c r="BD67" s="21"/>
      <c r="BE67" s="232" t="s">
        <v>874</v>
      </c>
      <c r="BF67" s="232"/>
      <c r="BG67" s="232"/>
      <c r="BH67" s="21" t="s">
        <v>873</v>
      </c>
      <c r="BI67" s="21" t="s">
        <v>870</v>
      </c>
      <c r="BJ67" s="21" t="s">
        <v>871</v>
      </c>
      <c r="BK67" s="21" t="s">
        <v>872</v>
      </c>
      <c r="BP67" s="240" t="str">
        <f>$AD$25</f>
        <v>LOW CARB (peu de féculent)</v>
      </c>
      <c r="BQ67" s="240" t="s">
        <v>1078</v>
      </c>
      <c r="BR67" s="240"/>
      <c r="BS67" s="240"/>
      <c r="BT67" s="240"/>
      <c r="BU67" s="240"/>
      <c r="BY67" s="265" t="s">
        <v>60</v>
      </c>
      <c r="BZ67" s="266">
        <v>0.9</v>
      </c>
      <c r="CG67" s="240" t="str">
        <f t="shared" si="3"/>
        <v>Gestation 1er tiers</v>
      </c>
      <c r="CH67" s="21"/>
      <c r="CI67" s="21">
        <v>5</v>
      </c>
      <c r="CJ67" s="21">
        <v>3</v>
      </c>
      <c r="DH67" s="21">
        <f>HLS!$A66</f>
        <v>0</v>
      </c>
      <c r="DI67" s="21">
        <f>LGS!$A66</f>
        <v>0</v>
      </c>
      <c r="DJ67" s="21">
        <f>FCS!$A66</f>
        <v>0</v>
      </c>
      <c r="DK67" s="21">
        <f>VDS!$A66</f>
        <v>0</v>
      </c>
      <c r="DL67" s="264"/>
      <c r="DM67" s="21">
        <f>'OPT1'!$A66</f>
        <v>0</v>
      </c>
      <c r="DN67" s="21">
        <f>'OPT2'!$A66</f>
        <v>0</v>
      </c>
    </row>
    <row r="68" spans="1:118" ht="25.2" customHeight="1">
      <c r="A68" s="15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N68" s="152"/>
      <c r="O68" s="152"/>
      <c r="P68" s="152"/>
      <c r="Q68" s="152"/>
      <c r="R68" s="20"/>
      <c r="S68" s="142"/>
      <c r="T68" s="143"/>
      <c r="U68" s="247"/>
      <c r="W68" s="238"/>
      <c r="X68" s="238"/>
      <c r="Y68" s="238"/>
      <c r="Z68" s="238"/>
      <c r="AB68" s="230"/>
      <c r="AD68" s="21" t="s">
        <v>228</v>
      </c>
      <c r="AE68" s="21" t="e">
        <f>$AE$26</f>
        <v>#N/A</v>
      </c>
      <c r="AG68" s="232" t="s">
        <v>238</v>
      </c>
      <c r="AH68" s="232"/>
      <c r="AI68" s="232">
        <f>$M$13</f>
        <v>0</v>
      </c>
      <c r="AJ68" s="232"/>
      <c r="AM68" s="232" t="s">
        <v>260</v>
      </c>
      <c r="AN68" s="232"/>
      <c r="AO68" s="232" t="e">
        <f>IF(CTRL!C10&gt;0,IF($AO$67=1,$AO$66,$AO$65),$AO$65)</f>
        <v>#N/A</v>
      </c>
      <c r="AP68" s="232"/>
      <c r="AQ68" s="232"/>
      <c r="AR68" s="232"/>
      <c r="AS68" s="240" t="e">
        <f>IF($AT$65&gt;$AU$68,$AT$66,$AT$65)</f>
        <v>#DIV/0!</v>
      </c>
      <c r="AT68" s="240" t="s">
        <v>758</v>
      </c>
      <c r="AU68" s="21">
        <f>CTRL!H21</f>
        <v>15</v>
      </c>
      <c r="AW68" s="21"/>
      <c r="AX68" s="21">
        <f>$Z$32</f>
        <v>1</v>
      </c>
      <c r="AY68" s="21">
        <f>CTRL!E26</f>
        <v>500</v>
      </c>
      <c r="AZ68" s="21">
        <f>IF(CTRL!C26&gt;0,IF($AX$68&lt;$AY$68,1,0),1)</f>
        <v>1</v>
      </c>
      <c r="BA68" s="230" t="s">
        <v>868</v>
      </c>
      <c r="BB68" s="21"/>
      <c r="BC68" s="232" t="str">
        <f>CTRL!B26</f>
        <v>actif</v>
      </c>
      <c r="BD68" s="258"/>
      <c r="BE68" s="232" t="s">
        <v>877</v>
      </c>
      <c r="BF68" s="232"/>
      <c r="BG68" s="232"/>
      <c r="BH68" s="21" t="e">
        <f>X$21-$X$20</f>
        <v>#N/A</v>
      </c>
      <c r="BI68" s="21" t="e">
        <f>IF($I$7=$AD$28,$X$21-$X$20,ROUNDDOWN(($X$21-$X$20)/5,0)*5)</f>
        <v>#N/A</v>
      </c>
      <c r="BJ68" s="21" t="e">
        <f>IF($I$7=$AD$28,$X$21-$X$20,ROUNDDOWN(($X$21-$X$20)/10,0)*10)</f>
        <v>#N/A</v>
      </c>
      <c r="BK68" s="21" t="e">
        <f t="shared" ref="BK68:BK82" si="4">IF($AZ$68=1,BI68,BJ68)</f>
        <v>#N/A</v>
      </c>
      <c r="BP68" s="240" t="str">
        <f>$AD$24</f>
        <v>SUPER PREMIUM (riche en viande)</v>
      </c>
      <c r="BQ68" s="240" t="s">
        <v>977</v>
      </c>
      <c r="BR68" s="240"/>
      <c r="BS68" s="240"/>
      <c r="BT68" s="240"/>
      <c r="BU68" s="240"/>
      <c r="BY68" s="265" t="s">
        <v>657</v>
      </c>
      <c r="BZ68" s="266">
        <v>1</v>
      </c>
      <c r="CG68" s="240" t="str">
        <f t="shared" si="3"/>
        <v>Gestation 2ème tiers</v>
      </c>
      <c r="CH68" s="21"/>
      <c r="CI68" s="21">
        <v>5</v>
      </c>
      <c r="CJ68" s="21">
        <v>3</v>
      </c>
      <c r="DH68" s="21">
        <f>HLS!$A67</f>
        <v>0</v>
      </c>
      <c r="DI68" s="21">
        <f>LGS!$A67</f>
        <v>0</v>
      </c>
      <c r="DJ68" s="21">
        <f>FCS!$A67</f>
        <v>0</v>
      </c>
      <c r="DK68" s="21">
        <f>VDS!$A67</f>
        <v>0</v>
      </c>
      <c r="DL68" s="264"/>
      <c r="DM68" s="21">
        <f>'OPT1'!$A67</f>
        <v>0</v>
      </c>
      <c r="DN68" s="21">
        <f>'OPT2'!$A67</f>
        <v>0</v>
      </c>
    </row>
    <row r="69" spans="1:118" ht="25.2" customHeight="1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R69" s="20"/>
      <c r="S69" s="142"/>
      <c r="T69" s="144" t="s">
        <v>380</v>
      </c>
      <c r="U69" s="247"/>
      <c r="W69" s="253"/>
      <c r="AB69" s="230"/>
      <c r="AG69" s="232" t="s">
        <v>229</v>
      </c>
      <c r="AH69" s="232"/>
      <c r="AI69" s="232">
        <f>IF($AI$68&gt;0,ROUND($AI$67/$AI$68*100,0),0)</f>
        <v>0</v>
      </c>
      <c r="AJ69" s="238"/>
      <c r="AM69" s="232" t="s">
        <v>261</v>
      </c>
      <c r="AN69" s="232"/>
      <c r="AO69" s="232" t="e">
        <f>IF($AO$68&gt;0,ROUND($Z$32*$AO$68/100,0),0)</f>
        <v>#N/A</v>
      </c>
      <c r="AP69" s="232"/>
      <c r="AQ69" s="232">
        <f>IF(CTRL!C10&gt;0,IF($M$14&gt;0,$AS$68,0),99999)</f>
        <v>0</v>
      </c>
      <c r="AR69" s="232"/>
      <c r="AS69" s="240" t="e">
        <f>$AS$68*$M$14/100</f>
        <v>#DIV/0!</v>
      </c>
      <c r="AT69" s="240" t="e">
        <f>"kcal ("&amp;ROUND($AS$69*100/$Z$32,2)&amp;"% kcal)"</f>
        <v>#DIV/0!</v>
      </c>
      <c r="AW69" s="21"/>
      <c r="AX69" s="21"/>
      <c r="AY69" s="21"/>
      <c r="AZ69" s="21"/>
      <c r="BA69" s="21"/>
      <c r="BB69" s="21"/>
      <c r="BC69" s="232"/>
      <c r="BD69" s="258"/>
      <c r="BE69" s="232" t="s">
        <v>878</v>
      </c>
      <c r="BF69" s="232"/>
      <c r="BG69" s="232"/>
      <c r="BH69" s="21" t="e">
        <f>IF($AF$20=0,$AG$20,$AH$20)</f>
        <v>#N/A</v>
      </c>
      <c r="BI69" s="21" t="e">
        <f>IF($AF$20=0,ROUNDDOWN($AG$20/10,0)*10,$AH$20)</f>
        <v>#N/A</v>
      </c>
      <c r="BJ69" s="21" t="e">
        <f>IF($AF$20=0,ROUNDDOWN($AG$20/10,0)*10,$AH$20)</f>
        <v>#N/A</v>
      </c>
      <c r="BK69" s="21" t="e">
        <f>IF($AZ$68=1,BI69,BJ69)</f>
        <v>#N/A</v>
      </c>
      <c r="BP69" s="240" t="str">
        <f>$AD$26</f>
        <v>ECO MALIN (spécial petit budget)</v>
      </c>
      <c r="BQ69" s="240" t="s">
        <v>1074</v>
      </c>
      <c r="BR69" s="240"/>
      <c r="BS69" s="240"/>
      <c r="BT69" s="240"/>
      <c r="BU69" s="240"/>
      <c r="BY69" s="265" t="s">
        <v>658</v>
      </c>
      <c r="BZ69" s="266">
        <v>1</v>
      </c>
      <c r="CG69" s="240" t="str">
        <f t="shared" si="3"/>
        <v>Gestation 3ème tiers</v>
      </c>
      <c r="CH69" s="21"/>
      <c r="CI69" s="21">
        <v>5</v>
      </c>
      <c r="CJ69" s="21">
        <v>3</v>
      </c>
      <c r="DH69" s="21">
        <f>HLS!$A68</f>
        <v>0</v>
      </c>
      <c r="DI69" s="21">
        <f>LGS!$A68</f>
        <v>0</v>
      </c>
      <c r="DJ69" s="21">
        <f>FCS!$A68</f>
        <v>0</v>
      </c>
      <c r="DK69" s="21">
        <f>VDS!$A68</f>
        <v>0</v>
      </c>
      <c r="DL69" s="264"/>
      <c r="DM69" s="21">
        <f>'OPT1'!$A68</f>
        <v>0</v>
      </c>
      <c r="DN69" s="21">
        <f>'OPT2'!$A68</f>
        <v>0</v>
      </c>
    </row>
    <row r="70" spans="1:118" ht="25.2" customHeight="1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R70" s="20"/>
      <c r="S70" s="142"/>
      <c r="T70" s="144" t="s">
        <v>1052</v>
      </c>
      <c r="U70" s="247"/>
      <c r="W70" s="232" t="s">
        <v>199</v>
      </c>
      <c r="X70" s="232"/>
      <c r="Y70" s="258" t="s">
        <v>197</v>
      </c>
      <c r="Z70" s="244" t="str">
        <f>W71</f>
        <v/>
      </c>
      <c r="AA70" s="244"/>
      <c r="AD70" s="243" t="s">
        <v>273</v>
      </c>
      <c r="AE70" s="243"/>
      <c r="AG70" s="232" t="s">
        <v>230</v>
      </c>
      <c r="AH70" s="232"/>
      <c r="AI70" s="232" t="e">
        <f>IF($AI$69&gt;$AE$68,1,0)</f>
        <v>#N/A</v>
      </c>
      <c r="AJ70" s="232"/>
      <c r="AM70" s="232" t="s">
        <v>761</v>
      </c>
      <c r="AN70" s="232"/>
      <c r="AO70" s="232">
        <f>IF($M$14&gt;0,EVEN($AO$69/$M$14*100),0)</f>
        <v>0</v>
      </c>
      <c r="AP70" s="232"/>
      <c r="AQ70" s="232">
        <f>IF($AO$70&lt;($AQ$69+0.1),$AO$70,$AQ$69)</f>
        <v>0</v>
      </c>
      <c r="AR70" s="232"/>
      <c r="AS70" s="258">
        <f>AQ70*$M$14/100</f>
        <v>0</v>
      </c>
      <c r="AT70" s="230" t="str">
        <f>"kcal pour "&amp;AQ70&amp;" g d'huile"</f>
        <v>kcal pour 0 g d'huile</v>
      </c>
      <c r="AU70" s="21"/>
      <c r="AW70" s="21"/>
      <c r="AX70" s="21"/>
      <c r="AY70" s="21"/>
      <c r="AZ70" s="21"/>
      <c r="BA70" s="21"/>
      <c r="BB70" s="21"/>
      <c r="BC70" s="21"/>
      <c r="BD70" s="258"/>
      <c r="BE70" s="232" t="s">
        <v>879</v>
      </c>
      <c r="BF70" s="232"/>
      <c r="BG70" s="232"/>
      <c r="BH70" s="21" t="e">
        <f>ROUNDUP($Y$36/$AE$35*100,0)</f>
        <v>#N/A</v>
      </c>
      <c r="BI70" s="21" t="e">
        <f>ROUNDUP($Y$36/$AE$35*20,0)*5</f>
        <v>#N/A</v>
      </c>
      <c r="BJ70" s="21" t="e">
        <f>ROUNDUP($Y$36/$AE$35*10,0)*10</f>
        <v>#N/A</v>
      </c>
      <c r="BK70" s="21" t="e">
        <f t="shared" si="4"/>
        <v>#N/A</v>
      </c>
      <c r="BY70" s="265" t="s">
        <v>659</v>
      </c>
      <c r="BZ70" s="266">
        <v>1</v>
      </c>
      <c r="CG70" s="240" t="str">
        <f t="shared" si="3"/>
        <v xml:space="preserve">Lactation </v>
      </c>
      <c r="CH70" s="21"/>
      <c r="CI70" s="21">
        <v>5</v>
      </c>
      <c r="CJ70" s="21">
        <v>3</v>
      </c>
      <c r="DH70" s="21">
        <f>HLS!$A69</f>
        <v>0</v>
      </c>
      <c r="DI70" s="21">
        <f>LGS!$A69</f>
        <v>0</v>
      </c>
      <c r="DJ70" s="21">
        <f>FCS!$A69</f>
        <v>0</v>
      </c>
      <c r="DK70" s="21">
        <f>VDS!$A69</f>
        <v>0</v>
      </c>
      <c r="DL70" s="264"/>
      <c r="DM70" s="21">
        <f>'OPT1'!$A69</f>
        <v>0</v>
      </c>
      <c r="DN70" s="21">
        <f>'OPT2'!$A69</f>
        <v>0</v>
      </c>
    </row>
    <row r="71" spans="1:118" ht="25.2" customHeight="1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R71" s="20"/>
      <c r="S71" s="145"/>
      <c r="T71" s="146" t="s">
        <v>997</v>
      </c>
      <c r="U71" s="247"/>
      <c r="W71" s="232" t="str">
        <f>IF($W$57=1,$W$58&amp;" g de "&amp;VLOOKUP($G$12,'OPT2'!$A$2:$AC$100,18,0),"")</f>
        <v/>
      </c>
      <c r="X71" s="232"/>
      <c r="Y71" s="258" t="s">
        <v>195</v>
      </c>
      <c r="Z71" s="244" t="str">
        <f>W71&amp;" et "&amp;W72</f>
        <v xml:space="preserve"> et </v>
      </c>
      <c r="AA71" s="244"/>
      <c r="AD71" s="21" t="s">
        <v>232</v>
      </c>
      <c r="AE71" s="21" t="e">
        <f>$AO$68</f>
        <v>#N/A</v>
      </c>
      <c r="AM71" s="21"/>
      <c r="AN71" s="21"/>
      <c r="AO71" s="21"/>
      <c r="AP71" s="21"/>
      <c r="AW71" s="21"/>
      <c r="AX71" s="21"/>
      <c r="AY71" s="21"/>
      <c r="AZ71" s="21"/>
      <c r="BA71" s="21"/>
      <c r="BB71" s="21"/>
      <c r="BC71" s="21"/>
      <c r="BD71" s="258"/>
      <c r="BE71" s="232" t="s">
        <v>875</v>
      </c>
      <c r="BF71" s="232"/>
      <c r="BG71" s="232"/>
      <c r="BH71" s="21">
        <f>IF($I$7=$AD$28,"n/a",IF($M$13&gt;0,ROUNDDOWN($AJ$49/$M$13*100,0),0))</f>
        <v>0</v>
      </c>
      <c r="BI71" s="21">
        <f>IF($I$7=$AD$28,"n/a",IF($M$13&gt;0,ROUNDDOWN($AJ$49/$M$13*20,0)*5,0))</f>
        <v>0</v>
      </c>
      <c r="BJ71" s="21">
        <f>IF($I$7=$AD$28,"n/a",IF($M$13&gt;0,ROUNDDOWN($AJ$49/$M$13*10,0)*10,0))</f>
        <v>0</v>
      </c>
      <c r="BK71" s="21">
        <f t="shared" si="4"/>
        <v>0</v>
      </c>
      <c r="BY71" s="265" t="s">
        <v>660</v>
      </c>
      <c r="BZ71" s="266">
        <v>1</v>
      </c>
      <c r="DH71" s="21">
        <f>HLS!$A70</f>
        <v>0</v>
      </c>
      <c r="DI71" s="21">
        <f>LGS!$A70</f>
        <v>0</v>
      </c>
      <c r="DJ71" s="21">
        <f>FCS!$A70</f>
        <v>0</v>
      </c>
      <c r="DK71" s="21">
        <f>VDS!$A70</f>
        <v>0</v>
      </c>
      <c r="DL71" s="264"/>
      <c r="DM71" s="21">
        <f>'OPT1'!$A70</f>
        <v>0</v>
      </c>
      <c r="DN71" s="21">
        <f>'OPT2'!$A70</f>
        <v>0</v>
      </c>
    </row>
    <row r="72" spans="1:118" ht="25.2" customHeight="1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R72" s="20"/>
      <c r="S72" s="145"/>
      <c r="T72" s="144"/>
      <c r="U72" s="247"/>
      <c r="W72" s="232" t="str">
        <f>IF($W$61=1,VLOOKUP($G$11,'OPT1'!$A$2:$AC$100,20,0)&amp;IF(W62&gt;1,"",""),"")</f>
        <v/>
      </c>
      <c r="X72" s="232"/>
      <c r="Y72" s="258" t="s">
        <v>196</v>
      </c>
      <c r="Z72" s="244" t="str">
        <f>W72</f>
        <v/>
      </c>
      <c r="AA72" s="244"/>
      <c r="AF72" s="253"/>
      <c r="AG72" s="253" t="s">
        <v>884</v>
      </c>
      <c r="AM72" s="243" t="s">
        <v>289</v>
      </c>
      <c r="AN72" s="232"/>
      <c r="AO72" s="232"/>
      <c r="AP72" s="232"/>
      <c r="AQ72" s="232"/>
      <c r="AR72" s="232"/>
      <c r="AS72" s="232"/>
      <c r="AT72" s="238"/>
      <c r="AW72" s="21"/>
      <c r="AX72" s="21"/>
      <c r="AY72" s="21"/>
      <c r="AZ72" s="21"/>
      <c r="BA72" s="21"/>
      <c r="BB72" s="21"/>
      <c r="BC72" s="21"/>
      <c r="BD72" s="258"/>
      <c r="BE72" s="232" t="s">
        <v>880</v>
      </c>
      <c r="BF72" s="232"/>
      <c r="BG72" s="232"/>
      <c r="BH72" s="21" t="e">
        <f>ROUNDUP(Y$34/$AE$35*100,0)</f>
        <v>#N/A</v>
      </c>
      <c r="BI72" s="21" t="e">
        <f>ROUNDUP(Y$34/$AE$35*20,0)*5</f>
        <v>#N/A</v>
      </c>
      <c r="BJ72" s="21" t="e">
        <f>ROUNDUP(Y$34/$AE$35*10,0)*10</f>
        <v>#N/A</v>
      </c>
      <c r="BK72" s="21" t="e">
        <f t="shared" si="4"/>
        <v>#N/A</v>
      </c>
      <c r="BY72" s="265" t="s">
        <v>661</v>
      </c>
      <c r="BZ72" s="266">
        <v>0.9</v>
      </c>
      <c r="DH72" s="21">
        <f>HLS!$A71</f>
        <v>0</v>
      </c>
      <c r="DI72" s="21">
        <f>LGS!$A71</f>
        <v>0</v>
      </c>
      <c r="DJ72" s="21">
        <f>FCS!$A71</f>
        <v>0</v>
      </c>
      <c r="DK72" s="21">
        <f>VDS!$A71</f>
        <v>0</v>
      </c>
      <c r="DL72" s="264"/>
      <c r="DM72" s="21">
        <f>'OPT1'!$A71</f>
        <v>0</v>
      </c>
      <c r="DN72" s="21">
        <f>'OPT2'!$A71</f>
        <v>0</v>
      </c>
    </row>
    <row r="73" spans="1:118" ht="25.2" customHeight="1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R73" s="20"/>
      <c r="S73" s="145"/>
      <c r="T73" s="144" t="s">
        <v>382</v>
      </c>
      <c r="U73" s="247"/>
      <c r="W73" s="232" t="s">
        <v>198</v>
      </c>
      <c r="X73" s="232"/>
      <c r="Y73" s="232" t="str">
        <f>IF($W$57=0,IF($W$61=0,"",$Z$72),"")&amp;IF($W$57=1,IF($W$61=0,$Z$70,$Z$71),"")</f>
        <v/>
      </c>
      <c r="Z73" s="232"/>
      <c r="AA73" s="232"/>
      <c r="AD73" s="243" t="s">
        <v>776</v>
      </c>
      <c r="AE73" s="238"/>
      <c r="AF73" s="238"/>
      <c r="AG73" s="238"/>
      <c r="AH73" s="238"/>
      <c r="AI73" s="238"/>
      <c r="AJ73" s="238"/>
      <c r="AK73" s="238"/>
      <c r="AW73" s="21"/>
      <c r="AX73" s="21"/>
      <c r="AY73" s="21"/>
      <c r="AZ73" s="21"/>
      <c r="BA73" s="21"/>
      <c r="BB73" s="21"/>
      <c r="BC73" s="21"/>
      <c r="BD73" s="258"/>
      <c r="BE73" s="232" t="s">
        <v>876</v>
      </c>
      <c r="BF73" s="232"/>
      <c r="BG73" s="232"/>
      <c r="BH73" s="21">
        <f>IF($I$7=$AD$28,"n/a",IF($M$13&gt;0,ROUNDDOWN($AJ$51/$M$13*100,0),0))</f>
        <v>0</v>
      </c>
      <c r="BI73" s="21">
        <f>IF($I$7=$AD$28,"n/a",IF($M$13&gt;0,ROUNDDOWN($AJ$51/$M$13*20,0)*5,0))</f>
        <v>0</v>
      </c>
      <c r="BJ73" s="21">
        <f>IF($I$7=$AD$28,"n/a",IF($M$13&gt;0,ROUNDDOWN($AJ$51/$M$13*10,0)*10,0))</f>
        <v>0</v>
      </c>
      <c r="BK73" s="21">
        <f t="shared" si="4"/>
        <v>0</v>
      </c>
      <c r="BP73" s="243" t="s">
        <v>397</v>
      </c>
      <c r="BQ73" s="238"/>
      <c r="BR73" s="238"/>
      <c r="BS73" s="238"/>
      <c r="BT73" s="238"/>
      <c r="BU73" s="238"/>
      <c r="BV73" s="249" t="s">
        <v>912</v>
      </c>
      <c r="BY73" s="265" t="s">
        <v>662</v>
      </c>
      <c r="BZ73" s="266">
        <v>1</v>
      </c>
      <c r="DH73" s="21">
        <f>HLS!$A72</f>
        <v>0</v>
      </c>
      <c r="DI73" s="21">
        <f>LGS!$A72</f>
        <v>0</v>
      </c>
      <c r="DJ73" s="21">
        <f>FCS!$A72</f>
        <v>0</v>
      </c>
      <c r="DK73" s="21">
        <f>VDS!$A72</f>
        <v>0</v>
      </c>
      <c r="DL73" s="264"/>
      <c r="DM73" s="21">
        <f>'OPT1'!$A72</f>
        <v>0</v>
      </c>
      <c r="DN73" s="21">
        <f>'OPT2'!$A72</f>
        <v>0</v>
      </c>
    </row>
    <row r="74" spans="1:118" ht="25.2" customHeight="1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R74" s="20"/>
      <c r="S74" s="145"/>
      <c r="T74" s="144" t="s">
        <v>383</v>
      </c>
      <c r="U74" s="247"/>
      <c r="AE74" s="21" t="s">
        <v>181</v>
      </c>
      <c r="AF74" s="21" t="s">
        <v>271</v>
      </c>
      <c r="AG74" s="21" t="s">
        <v>272</v>
      </c>
      <c r="AH74" s="21" t="s">
        <v>233</v>
      </c>
      <c r="AI74" s="21" t="s">
        <v>775</v>
      </c>
      <c r="AJ74" s="21" t="s">
        <v>774</v>
      </c>
      <c r="AK74" s="21" t="s">
        <v>264</v>
      </c>
      <c r="AM74" s="243" t="s">
        <v>776</v>
      </c>
      <c r="AN74" s="238"/>
      <c r="AO74" s="238"/>
      <c r="AP74" s="238"/>
      <c r="AQ74" s="238"/>
      <c r="AR74" s="238"/>
      <c r="AS74" s="238"/>
      <c r="AT74" s="238"/>
      <c r="AW74" s="21"/>
      <c r="AX74" s="21"/>
      <c r="AY74" s="21"/>
      <c r="AZ74" s="21"/>
      <c r="BA74" s="21"/>
      <c r="BB74" s="21"/>
      <c r="BC74" s="21"/>
      <c r="BD74" s="258"/>
      <c r="BE74" s="232" t="s">
        <v>881</v>
      </c>
      <c r="BF74" s="232"/>
      <c r="BG74" s="232"/>
      <c r="BH74" s="21" t="e">
        <f>ROUNDUP(($Z$35-$AK$52-$AE$52)/$M$11*100,0)</f>
        <v>#N/A</v>
      </c>
      <c r="BI74" s="21" t="e">
        <f>ROUNDUP(($Z$35-$AK$52-$AE$52)/$M$11*20,0)*5</f>
        <v>#N/A</v>
      </c>
      <c r="BJ74" s="21" t="e">
        <f>ROUNDUP(($Z$35-$AK$52-$AE$52)/$M$11*10,0)*10</f>
        <v>#N/A</v>
      </c>
      <c r="BK74" s="21" t="e">
        <f t="shared" si="4"/>
        <v>#N/A</v>
      </c>
      <c r="BP74" s="21" t="s">
        <v>391</v>
      </c>
      <c r="BQ74" s="244" t="e">
        <f>IF($Z$3&gt;0," "&amp;VLOOKUP($I$13,FCS!$A$2:$AC$100,20,0),"")</f>
        <v>#N/A</v>
      </c>
      <c r="BR74" s="286"/>
      <c r="BS74" s="286"/>
      <c r="BT74" s="286"/>
      <c r="BU74" s="286"/>
      <c r="BV74" s="21" t="e">
        <f t="shared" ref="BV74:BV79" si="5">IF(BQ74&lt;&gt;" ",1,0)</f>
        <v>#N/A</v>
      </c>
      <c r="BY74" s="265" t="s">
        <v>61</v>
      </c>
      <c r="BZ74" s="266">
        <v>0.9</v>
      </c>
      <c r="DH74" s="21">
        <f>HLS!$A73</f>
        <v>0</v>
      </c>
      <c r="DI74" s="21">
        <f>LGS!$A73</f>
        <v>0</v>
      </c>
      <c r="DJ74" s="21">
        <f>FCS!$A73</f>
        <v>0</v>
      </c>
      <c r="DK74" s="21">
        <f>VDS!$A73</f>
        <v>0</v>
      </c>
      <c r="DL74" s="264"/>
      <c r="DM74" s="21">
        <f>'OPT1'!$A73</f>
        <v>0</v>
      </c>
      <c r="DN74" s="21">
        <f>'OPT2'!$A73</f>
        <v>0</v>
      </c>
    </row>
    <row r="75" spans="1:118" ht="25.2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R75" s="20"/>
      <c r="S75" s="145"/>
      <c r="T75" s="144" t="s">
        <v>384</v>
      </c>
      <c r="U75" s="247"/>
      <c r="X75" s="21" t="s">
        <v>337</v>
      </c>
      <c r="Y75" s="21">
        <f>IF($AA$55=15,IF($W$57=0,IF($W$61=0,0,1),1),0)</f>
        <v>0</v>
      </c>
      <c r="Z75" s="230" t="s">
        <v>359</v>
      </c>
      <c r="AD75" s="21" t="s">
        <v>262</v>
      </c>
      <c r="AE75" s="21" t="e">
        <f>$AE$26</f>
        <v>#N/A</v>
      </c>
      <c r="AF75" s="253">
        <f>$BK$75</f>
        <v>0</v>
      </c>
      <c r="AG75" s="253" t="e">
        <f>$BK$76</f>
        <v>#N/A</v>
      </c>
      <c r="AH75" s="21">
        <f>IF($M$14&gt;0,$AQ$70,0)</f>
        <v>0</v>
      </c>
      <c r="AI75" s="21">
        <v>4</v>
      </c>
      <c r="AJ75" s="21" t="e">
        <f t="shared" ref="AJ75:AJ80" si="6">SUM(AE75:AI75)</f>
        <v>#N/A</v>
      </c>
      <c r="AN75" s="21" t="s">
        <v>181</v>
      </c>
      <c r="AO75" s="21" t="s">
        <v>271</v>
      </c>
      <c r="AP75" s="21" t="s">
        <v>272</v>
      </c>
      <c r="AQ75" s="21" t="s">
        <v>233</v>
      </c>
      <c r="AR75" s="21" t="s">
        <v>775</v>
      </c>
      <c r="AS75" s="21" t="s">
        <v>774</v>
      </c>
      <c r="AT75" s="21" t="s">
        <v>264</v>
      </c>
      <c r="AW75" s="21"/>
      <c r="AX75" s="21"/>
      <c r="AY75" s="21"/>
      <c r="AZ75" s="21"/>
      <c r="BA75" s="21"/>
      <c r="BB75" s="21"/>
      <c r="BC75" s="21"/>
      <c r="BD75" s="258"/>
      <c r="BE75" s="232" t="s">
        <v>882</v>
      </c>
      <c r="BF75" s="232"/>
      <c r="BG75" s="232"/>
      <c r="BH75" s="21">
        <f>ROUNDDOWN($AI$69,0)</f>
        <v>0</v>
      </c>
      <c r="BI75" s="21">
        <f>ROUNDDOWN($AI$69/5,0)*5</f>
        <v>0</v>
      </c>
      <c r="BJ75" s="21">
        <f>ROUNDDOWN($AI$69/10,0)*10</f>
        <v>0</v>
      </c>
      <c r="BK75" s="21">
        <f t="shared" si="4"/>
        <v>0</v>
      </c>
      <c r="BP75" s="21" t="s">
        <v>392</v>
      </c>
      <c r="BQ75" s="244" t="e">
        <f>IF($Y$3&gt;0," "&amp;VLOOKUP($I$12,LGS!$A$2:$AC$100,20,0),"")</f>
        <v>#N/A</v>
      </c>
      <c r="BR75" s="286"/>
      <c r="BS75" s="286"/>
      <c r="BT75" s="286"/>
      <c r="BU75" s="286"/>
      <c r="BV75" s="21" t="e">
        <f t="shared" si="5"/>
        <v>#N/A</v>
      </c>
      <c r="BY75" s="265" t="s">
        <v>663</v>
      </c>
      <c r="BZ75" s="266">
        <v>1</v>
      </c>
      <c r="DH75" s="21">
        <f>HLS!$A74</f>
        <v>0</v>
      </c>
      <c r="DI75" s="21">
        <f>LGS!$A74</f>
        <v>0</v>
      </c>
      <c r="DJ75" s="21">
        <f>FCS!$A74</f>
        <v>0</v>
      </c>
      <c r="DK75" s="21">
        <f>VDS!$A74</f>
        <v>0</v>
      </c>
      <c r="DL75" s="264"/>
      <c r="DM75" s="21">
        <f>'OPT1'!$A74</f>
        <v>0</v>
      </c>
      <c r="DN75" s="21">
        <f>'OPT2'!$A74</f>
        <v>0</v>
      </c>
    </row>
    <row r="76" spans="1:118" ht="25.2" customHeight="1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R76" s="20"/>
      <c r="S76" s="145"/>
      <c r="T76" s="144" t="s">
        <v>1053</v>
      </c>
      <c r="U76" s="247"/>
      <c r="W76" s="294"/>
      <c r="X76" s="281"/>
      <c r="Y76" s="281"/>
      <c r="Z76" s="281"/>
      <c r="AA76" s="281"/>
      <c r="AD76" s="21" t="s">
        <v>263</v>
      </c>
      <c r="AE76" s="21" t="e">
        <f>$AF$35/100*$AE$75</f>
        <v>#N/A</v>
      </c>
      <c r="AF76" s="21">
        <f>$AF$37/100*$AF$75</f>
        <v>0</v>
      </c>
      <c r="AG76" s="21" t="e">
        <f>$AF$36/100*$AG$75</f>
        <v>#N/A</v>
      </c>
      <c r="AH76" s="21">
        <f>$AF$38/100*$AH$75</f>
        <v>0</v>
      </c>
      <c r="AI76" s="21">
        <f>$AF$34/100*$AI$75</f>
        <v>0</v>
      </c>
      <c r="AJ76" s="21" t="e">
        <f t="shared" si="6"/>
        <v>#N/A</v>
      </c>
      <c r="AK76" s="21" t="e">
        <f>AJ76*100/$AJ$81</f>
        <v>#N/A</v>
      </c>
      <c r="AM76" s="21" t="s">
        <v>768</v>
      </c>
      <c r="AN76" s="253" t="e">
        <f>$BK$77</f>
        <v>#N/A</v>
      </c>
      <c r="AO76" s="21">
        <v>0</v>
      </c>
      <c r="AP76" s="253" t="e">
        <f>$BK$78</f>
        <v>#N/A</v>
      </c>
      <c r="AQ76" s="21">
        <f>IF($M$14&gt;0,$AQ$70,0)</f>
        <v>0</v>
      </c>
      <c r="AR76" s="21">
        <v>4</v>
      </c>
      <c r="AS76" s="21" t="e">
        <f t="shared" ref="AS76:AS81" si="7">SUM(AN76:AR76)</f>
        <v>#N/A</v>
      </c>
      <c r="AW76" s="21"/>
      <c r="AX76" s="243" t="s">
        <v>961</v>
      </c>
      <c r="AY76" s="243"/>
      <c r="AZ76" s="232"/>
      <c r="BA76" s="21"/>
      <c r="BB76" s="21"/>
      <c r="BC76" s="21"/>
      <c r="BD76" s="258"/>
      <c r="BE76" s="232" t="s">
        <v>883</v>
      </c>
      <c r="BF76" s="232"/>
      <c r="BG76" s="232"/>
      <c r="BH76" s="21" t="e">
        <f>IF($AF$20=0,ROUNDDOWN($AE$52/$M$12*100,0),$AH$20)</f>
        <v>#N/A</v>
      </c>
      <c r="BI76" s="21" t="e">
        <f>IF($AF$20=0,ROUNDDOWN($AE$52/$M$12*20,0)*5,$AH$20)</f>
        <v>#N/A</v>
      </c>
      <c r="BJ76" s="21" t="e">
        <f>IF($AF$20=0,ROUNDDOWN($AE$52/$M$12*10,0)*10,$AH$20)</f>
        <v>#N/A</v>
      </c>
      <c r="BK76" s="21" t="e">
        <f t="shared" si="4"/>
        <v>#N/A</v>
      </c>
      <c r="BP76" s="21" t="s">
        <v>803</v>
      </c>
      <c r="BQ76" s="244" t="e">
        <f>IF($X$3&gt;0," "&amp;VLOOKUP($I$11,VDS!$A$2:$AJ$108,20,0),"")</f>
        <v>#N/A</v>
      </c>
      <c r="BR76" s="286"/>
      <c r="BS76" s="286"/>
      <c r="BT76" s="286"/>
      <c r="BU76" s="286"/>
      <c r="BV76" s="21" t="e">
        <f t="shared" si="5"/>
        <v>#N/A</v>
      </c>
      <c r="BY76" s="265" t="s">
        <v>664</v>
      </c>
      <c r="BZ76" s="266">
        <v>1</v>
      </c>
      <c r="DH76" s="21">
        <f>HLS!$A75</f>
        <v>0</v>
      </c>
      <c r="DI76" s="21">
        <f>LGS!$A75</f>
        <v>0</v>
      </c>
      <c r="DJ76" s="21">
        <f>FCS!$A75</f>
        <v>0</v>
      </c>
      <c r="DK76" s="21">
        <f>VDS!$A75</f>
        <v>0</v>
      </c>
      <c r="DL76" s="264"/>
      <c r="DM76" s="21">
        <f>'OPT1'!$A75</f>
        <v>0</v>
      </c>
      <c r="DN76" s="21">
        <f>'OPT2'!$A75</f>
        <v>0</v>
      </c>
    </row>
    <row r="77" spans="1:118" ht="25.2" customHeight="1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R77" s="20"/>
      <c r="S77" s="145"/>
      <c r="T77" s="144" t="s">
        <v>1054</v>
      </c>
      <c r="U77" s="247"/>
      <c r="W77" s="260" t="s">
        <v>355</v>
      </c>
      <c r="X77" s="260" t="s">
        <v>356</v>
      </c>
      <c r="Y77" s="260" t="s">
        <v>357</v>
      </c>
      <c r="Z77" s="260" t="s">
        <v>352</v>
      </c>
      <c r="AA77" s="260" t="s">
        <v>358</v>
      </c>
      <c r="AD77" s="21" t="s">
        <v>265</v>
      </c>
      <c r="AE77" s="21" t="e">
        <f>$AE$35/100*$AE$75</f>
        <v>#N/A</v>
      </c>
      <c r="AF77" s="21">
        <f>$AE$37/100*$AF$75</f>
        <v>0</v>
      </c>
      <c r="AG77" s="21" t="e">
        <f>$AE$36/100*$AG$75</f>
        <v>#N/A</v>
      </c>
      <c r="AH77" s="21">
        <f>$AE$38/100*$AH$75</f>
        <v>0</v>
      </c>
      <c r="AI77" s="21">
        <f>$AE$34/100*$AI$75</f>
        <v>0</v>
      </c>
      <c r="AJ77" s="21" t="e">
        <f t="shared" si="6"/>
        <v>#N/A</v>
      </c>
      <c r="AK77" s="21" t="e">
        <f>AJ77*100/$AJ$81</f>
        <v>#N/A</v>
      </c>
      <c r="AM77" s="21" t="s">
        <v>769</v>
      </c>
      <c r="AN77" s="21" t="e">
        <f>$AF$35/100*$AN$76</f>
        <v>#N/A</v>
      </c>
      <c r="AO77" s="21">
        <v>0</v>
      </c>
      <c r="AP77" s="21" t="e">
        <f>$AF$36/100*$AP$76</f>
        <v>#N/A</v>
      </c>
      <c r="AQ77" s="21">
        <f>$AF$38/100*$AQ$76</f>
        <v>0</v>
      </c>
      <c r="AR77" s="21">
        <f>$AF$34/100*$AR$76</f>
        <v>0</v>
      </c>
      <c r="AS77" s="21" t="e">
        <f t="shared" si="7"/>
        <v>#N/A</v>
      </c>
      <c r="AT77" s="21" t="e">
        <f>AS77*100/$AS$82</f>
        <v>#N/A</v>
      </c>
      <c r="AW77" s="21"/>
      <c r="AX77" s="243"/>
      <c r="AY77" s="243"/>
      <c r="AZ77" s="232"/>
      <c r="BA77" s="21"/>
      <c r="BB77" s="21"/>
      <c r="BC77" s="21"/>
      <c r="BD77" s="258"/>
      <c r="BE77" s="232" t="s">
        <v>886</v>
      </c>
      <c r="BF77" s="232"/>
      <c r="BG77" s="232"/>
      <c r="BH77" s="21" t="e">
        <f>ROUNDUP($AS$86,0)</f>
        <v>#N/A</v>
      </c>
      <c r="BI77" s="21" t="e">
        <f>ROUNDUP($AS$86/5,0)*5</f>
        <v>#N/A</v>
      </c>
      <c r="BJ77" s="21" t="e">
        <f>ROUNDUP($AS$86/10,0)*10</f>
        <v>#N/A</v>
      </c>
      <c r="BK77" s="21" t="e">
        <f t="shared" si="4"/>
        <v>#N/A</v>
      </c>
      <c r="BP77" s="21" t="s">
        <v>393</v>
      </c>
      <c r="BQ77" s="244" t="e">
        <f>IF($W$26&gt;0," "&amp;VLOOKUP($I$14,HLS!$A$2:$AC$100,20,0),"")</f>
        <v>#N/A</v>
      </c>
      <c r="BR77" s="286"/>
      <c r="BS77" s="286"/>
      <c r="BT77" s="286"/>
      <c r="BU77" s="286"/>
      <c r="BV77" s="21" t="e">
        <f t="shared" si="5"/>
        <v>#N/A</v>
      </c>
      <c r="BY77" s="265" t="s">
        <v>665</v>
      </c>
      <c r="BZ77" s="266">
        <v>1</v>
      </c>
      <c r="DH77" s="21">
        <f>HLS!$A76</f>
        <v>0</v>
      </c>
      <c r="DI77" s="21">
        <f>LGS!$A76</f>
        <v>0</v>
      </c>
      <c r="DJ77" s="21">
        <f>FCS!$A76</f>
        <v>0</v>
      </c>
      <c r="DK77" s="21">
        <f>VDS!$A76</f>
        <v>0</v>
      </c>
      <c r="DL77" s="264"/>
      <c r="DM77" s="21">
        <f>'OPT1'!$A76</f>
        <v>0</v>
      </c>
      <c r="DN77" s="21">
        <f>'OPT2'!$A76</f>
        <v>0</v>
      </c>
    </row>
    <row r="78" spans="1:118" ht="25.2" customHeight="1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R78" s="20"/>
      <c r="S78" s="145"/>
      <c r="T78" s="143"/>
      <c r="U78" s="247"/>
      <c r="W78" s="21">
        <f>IF($G$12=$DN$3,0,IF($G$12="",0,1))</f>
        <v>0</v>
      </c>
      <c r="X78" s="21">
        <v>250</v>
      </c>
      <c r="Y78" s="21">
        <v>125</v>
      </c>
      <c r="Z78" s="21">
        <v>62.5</v>
      </c>
      <c r="AA78" s="21">
        <v>15</v>
      </c>
      <c r="AD78" s="21" t="s">
        <v>266</v>
      </c>
      <c r="AE78" s="21" t="e">
        <f>$AG$35/100*$AE$75</f>
        <v>#N/A</v>
      </c>
      <c r="AF78" s="21">
        <f>$AG$37/100*$AF$75</f>
        <v>0</v>
      </c>
      <c r="AG78" s="21" t="e">
        <f>$AG$36/100*$AG$75</f>
        <v>#N/A</v>
      </c>
      <c r="AH78" s="21">
        <f>$AG$38/100*$AH$75</f>
        <v>0</v>
      </c>
      <c r="AI78" s="21">
        <f>$AG$34/100*$AI$75</f>
        <v>0</v>
      </c>
      <c r="AJ78" s="21" t="e">
        <f t="shared" si="6"/>
        <v>#N/A</v>
      </c>
      <c r="AK78" s="21" t="e">
        <f>AJ78*100/$AJ$81</f>
        <v>#N/A</v>
      </c>
      <c r="AM78" s="21" t="s">
        <v>770</v>
      </c>
      <c r="AN78" s="21" t="e">
        <f>$AE$35/100*$AN$76</f>
        <v>#N/A</v>
      </c>
      <c r="AO78" s="21">
        <v>0</v>
      </c>
      <c r="AP78" s="21" t="e">
        <f>$AE$36/100*$AP$76</f>
        <v>#N/A</v>
      </c>
      <c r="AQ78" s="21">
        <f>$AE$38/100*$AQ$76</f>
        <v>0</v>
      </c>
      <c r="AR78" s="21">
        <f>$AE$34/100*$AR$76</f>
        <v>0</v>
      </c>
      <c r="AS78" s="21" t="e">
        <f t="shared" si="7"/>
        <v>#N/A</v>
      </c>
      <c r="AT78" s="21" t="e">
        <f>AS78*100/$AS$82</f>
        <v>#N/A</v>
      </c>
      <c r="AW78" s="21"/>
      <c r="AX78" s="246" t="s">
        <v>958</v>
      </c>
      <c r="AY78" s="232">
        <f>CTRL!K17</f>
        <v>6</v>
      </c>
      <c r="AZ78" s="232">
        <f>CTRL!L17</f>
        <v>-1</v>
      </c>
      <c r="BA78" s="21"/>
      <c r="BB78" s="21"/>
      <c r="BC78" s="21"/>
      <c r="BD78" s="258"/>
      <c r="BE78" s="232" t="s">
        <v>887</v>
      </c>
      <c r="BF78" s="232"/>
      <c r="BG78" s="232"/>
      <c r="BH78" s="21" t="e">
        <f>IF($AF$20=0,ROUNDDOWN($AE$52/$M$12*100,0),$AH$20)</f>
        <v>#N/A</v>
      </c>
      <c r="BI78" s="21" t="e">
        <f>IF($AF$20=0,ROUNDDOWN($AE$52/$M$12*20,0)*5,$AH$20)</f>
        <v>#N/A</v>
      </c>
      <c r="BJ78" s="21" t="e">
        <f>IF($AF$20=0,ROUNDDOWN($AE$52/$M$12*10,0)*10,$AH$20)</f>
        <v>#N/A</v>
      </c>
      <c r="BK78" s="21" t="e">
        <f t="shared" si="4"/>
        <v>#N/A</v>
      </c>
      <c r="BP78" s="21" t="s">
        <v>804</v>
      </c>
      <c r="BQ78" s="244" t="str">
        <f>IF($I$15&lt;&gt;"",IF($X$3&gt;0," "&amp;VLOOKUP($I$15,VDS!$A$2:$AJ$108,20,0),""),"")</f>
        <v/>
      </c>
      <c r="BR78" s="286"/>
      <c r="BS78" s="286"/>
      <c r="BT78" s="286"/>
      <c r="BU78" s="286"/>
      <c r="BV78" s="21">
        <f t="shared" si="5"/>
        <v>1</v>
      </c>
      <c r="BY78" s="265" t="s">
        <v>62</v>
      </c>
      <c r="BZ78" s="266">
        <v>1</v>
      </c>
      <c r="DH78" s="21">
        <f>HLS!$A77</f>
        <v>0</v>
      </c>
      <c r="DI78" s="21">
        <f>LGS!$A77</f>
        <v>0</v>
      </c>
      <c r="DJ78" s="21">
        <f>FCS!$A77</f>
        <v>0</v>
      </c>
      <c r="DK78" s="21">
        <f>VDS!$A77</f>
        <v>0</v>
      </c>
      <c r="DL78" s="264"/>
      <c r="DM78" s="21">
        <f>'OPT1'!$A77</f>
        <v>0</v>
      </c>
      <c r="DN78" s="21">
        <f>'OPT2'!$A77</f>
        <v>0</v>
      </c>
    </row>
    <row r="79" spans="1:118" ht="25.2" customHeight="1" thickBot="1">
      <c r="R79" s="20"/>
      <c r="S79" s="147"/>
      <c r="T79" s="148"/>
      <c r="U79" s="148"/>
      <c r="AD79" s="21" t="s">
        <v>267</v>
      </c>
      <c r="AE79" s="21" t="e">
        <f>$AH$35/100*$AE$75</f>
        <v>#N/A</v>
      </c>
      <c r="AF79" s="21">
        <f>$AH$37/100*$AF$75</f>
        <v>0</v>
      </c>
      <c r="AG79" s="21" t="e">
        <f>$AH$36/100*$AG$75</f>
        <v>#N/A</v>
      </c>
      <c r="AH79" s="21">
        <f>$AH$38/100*$AH$75</f>
        <v>0</v>
      </c>
      <c r="AI79" s="21">
        <f>$AH$34/100*$AI$75</f>
        <v>0</v>
      </c>
      <c r="AJ79" s="21" t="e">
        <f t="shared" si="6"/>
        <v>#N/A</v>
      </c>
      <c r="AK79" s="21" t="e">
        <f>AJ79*100/$AJ$81</f>
        <v>#N/A</v>
      </c>
      <c r="AM79" s="21" t="s">
        <v>771</v>
      </c>
      <c r="AN79" s="21" t="e">
        <f>$AG$35/100*$AN$76</f>
        <v>#N/A</v>
      </c>
      <c r="AO79" s="21">
        <v>0</v>
      </c>
      <c r="AP79" s="21" t="e">
        <f>$AG$36/100*$AP$76</f>
        <v>#N/A</v>
      </c>
      <c r="AQ79" s="21">
        <f>$AG$38/100*$AQ$76</f>
        <v>0</v>
      </c>
      <c r="AR79" s="21">
        <f>$AG$34/100*$AR$76</f>
        <v>0</v>
      </c>
      <c r="AS79" s="21" t="e">
        <f t="shared" si="7"/>
        <v>#N/A</v>
      </c>
      <c r="AT79" s="21" t="e">
        <f>AS79*100/$AS$82</f>
        <v>#N/A</v>
      </c>
      <c r="AW79" s="21"/>
      <c r="AX79" s="232"/>
      <c r="AY79" s="232"/>
      <c r="AZ79" s="232"/>
      <c r="BA79" s="21"/>
      <c r="BB79" s="21"/>
      <c r="BC79" s="21"/>
      <c r="BD79" s="258"/>
      <c r="BE79" s="232" t="s">
        <v>888</v>
      </c>
      <c r="BF79" s="232"/>
      <c r="BG79" s="232"/>
      <c r="BH79" s="21">
        <f>ROUNDDOWN($AS$104,0)</f>
        <v>0</v>
      </c>
      <c r="BI79" s="21">
        <f>ROUNDDOWN($AS$104/5,0)*5</f>
        <v>0</v>
      </c>
      <c r="BJ79" s="21">
        <f>ROUNDDOWN($AS$104/10,0)*10</f>
        <v>0</v>
      </c>
      <c r="BK79" s="21">
        <f t="shared" si="4"/>
        <v>0</v>
      </c>
      <c r="BP79" s="21" t="s">
        <v>805</v>
      </c>
      <c r="BQ79" s="230" t="e">
        <f>IF($BQ$78&lt;&gt;$BQ$76,$BQ$78," ")</f>
        <v>#N/A</v>
      </c>
      <c r="BV79" s="21" t="e">
        <f t="shared" si="5"/>
        <v>#N/A</v>
      </c>
      <c r="BY79" s="265" t="s">
        <v>666</v>
      </c>
      <c r="BZ79" s="266">
        <v>0.8</v>
      </c>
      <c r="DH79" s="21">
        <f>HLS!$A78</f>
        <v>0</v>
      </c>
      <c r="DI79" s="21">
        <f>LGS!$A78</f>
        <v>0</v>
      </c>
      <c r="DJ79" s="21">
        <f>FCS!$A78</f>
        <v>0</v>
      </c>
      <c r="DK79" s="21">
        <f>VDS!$A78</f>
        <v>0</v>
      </c>
      <c r="DL79" s="264"/>
      <c r="DM79" s="21">
        <f>'OPT1'!$A78</f>
        <v>0</v>
      </c>
      <c r="DN79" s="21">
        <f>'OPT2'!$A78</f>
        <v>0</v>
      </c>
    </row>
    <row r="80" spans="1:118" ht="25.2" customHeight="1">
      <c r="AD80" s="21" t="s">
        <v>268</v>
      </c>
      <c r="AE80" s="21" t="e">
        <f>$AI$35/100*$AE$75</f>
        <v>#N/A</v>
      </c>
      <c r="AF80" s="21">
        <f>$AI$37/100*$AF$75</f>
        <v>0</v>
      </c>
      <c r="AG80" s="21" t="e">
        <f>$AI$36/100*$AG$75</f>
        <v>#N/A</v>
      </c>
      <c r="AH80" s="21">
        <f>$AI$38/100*$AH$75</f>
        <v>0</v>
      </c>
      <c r="AI80" s="21">
        <f>$AI$34/100*$AI$75</f>
        <v>0</v>
      </c>
      <c r="AJ80" s="21" t="e">
        <f t="shared" si="6"/>
        <v>#N/A</v>
      </c>
      <c r="AK80" s="21" t="e">
        <f>AJ80*100/$AJ$81</f>
        <v>#N/A</v>
      </c>
      <c r="AM80" s="21" t="s">
        <v>772</v>
      </c>
      <c r="AN80" s="21" t="e">
        <f>$AH$35/100*$AN$76</f>
        <v>#N/A</v>
      </c>
      <c r="AO80" s="21">
        <v>0</v>
      </c>
      <c r="AP80" s="21" t="e">
        <f>$AH$36/100*$AP$76</f>
        <v>#N/A</v>
      </c>
      <c r="AQ80" s="21">
        <f>$AH$38/100*$AQ$76</f>
        <v>0</v>
      </c>
      <c r="AR80" s="21">
        <f>$AH$34/100*$AR$76</f>
        <v>0</v>
      </c>
      <c r="AS80" s="21" t="e">
        <f t="shared" si="7"/>
        <v>#N/A</v>
      </c>
      <c r="AT80" s="21" t="e">
        <f>AS80*100/$AS$82</f>
        <v>#N/A</v>
      </c>
      <c r="AX80" s="246" t="s">
        <v>959</v>
      </c>
      <c r="AY80" s="232">
        <f>CTRL!K19</f>
        <v>7</v>
      </c>
      <c r="AZ80" s="232">
        <f>CTRL!L19</f>
        <v>-2</v>
      </c>
      <c r="BD80" s="258"/>
      <c r="BE80" s="232" t="s">
        <v>889</v>
      </c>
      <c r="BF80" s="232"/>
      <c r="BG80" s="232"/>
      <c r="BH80" s="21" t="e">
        <f>IF($AF$20=0,ROUNDDOWN($AE$52/$M$12*100,0),$AH$20)</f>
        <v>#N/A</v>
      </c>
      <c r="BI80" s="21" t="e">
        <f>IF($AF$20=0,ROUNDDOWN($AE$52/$M$12*20,0)*5,$AH$20)</f>
        <v>#N/A</v>
      </c>
      <c r="BJ80" s="21" t="e">
        <f>IF($AF$20=0,ROUNDDOWN($AE$52/$M$12*10,0)*10,$AH$20)</f>
        <v>#N/A</v>
      </c>
      <c r="BK80" s="21" t="e">
        <f t="shared" si="4"/>
        <v>#N/A</v>
      </c>
      <c r="BP80" s="21" t="s">
        <v>913</v>
      </c>
      <c r="BQ80" s="230" t="str">
        <f>"
Nos petits conseils…"</f>
        <v xml:space="preserve">
Nos petits conseils…</v>
      </c>
      <c r="BU80" s="21" t="s">
        <v>14</v>
      </c>
      <c r="BV80" s="21" t="e">
        <f>SUM(BV74:BV79)</f>
        <v>#N/A</v>
      </c>
      <c r="BY80" s="265" t="s">
        <v>63</v>
      </c>
      <c r="BZ80" s="266">
        <v>0.8</v>
      </c>
      <c r="DH80" s="21">
        <f>HLS!$A79</f>
        <v>0</v>
      </c>
      <c r="DI80" s="21">
        <f>LGS!$A79</f>
        <v>0</v>
      </c>
      <c r="DJ80" s="21">
        <f>FCS!$A79</f>
        <v>0</v>
      </c>
      <c r="DK80" s="21">
        <f>VDS!$A79</f>
        <v>0</v>
      </c>
      <c r="DL80" s="264"/>
      <c r="DM80" s="21">
        <f>'OPT1'!$A79</f>
        <v>0</v>
      </c>
      <c r="DN80" s="21">
        <f>'OPT2'!$A79</f>
        <v>0</v>
      </c>
    </row>
    <row r="81" spans="22:118" ht="25.2" customHeight="1">
      <c r="AD81" s="243" t="s">
        <v>837</v>
      </c>
      <c r="AE81" s="256"/>
      <c r="AF81" s="271"/>
      <c r="AG81" s="271"/>
      <c r="AH81" s="271"/>
      <c r="AI81" s="271"/>
      <c r="AJ81" s="21" t="e">
        <f>SUM(AJ76:AJ80)</f>
        <v>#N/A</v>
      </c>
      <c r="AK81" s="21" t="e">
        <f>SUM(AK76:AK80)</f>
        <v>#N/A</v>
      </c>
      <c r="AM81" s="21" t="s">
        <v>773</v>
      </c>
      <c r="AN81" s="21" t="e">
        <f>$AI$35/100*$AN$76</f>
        <v>#N/A</v>
      </c>
      <c r="AO81" s="21">
        <v>0</v>
      </c>
      <c r="AP81" s="21" t="e">
        <f>$AI$36/100*$AP$76</f>
        <v>#N/A</v>
      </c>
      <c r="AQ81" s="21">
        <f>$AI$38/100*$AQ$76</f>
        <v>0</v>
      </c>
      <c r="AR81" s="21">
        <f>$AI$34/100*$AR$76</f>
        <v>0</v>
      </c>
      <c r="AS81" s="21" t="e">
        <f t="shared" si="7"/>
        <v>#N/A</v>
      </c>
      <c r="AT81" s="21" t="e">
        <f>AS81*100/$AS$82</f>
        <v>#N/A</v>
      </c>
      <c r="AX81" s="232"/>
      <c r="AY81" s="232"/>
      <c r="AZ81" s="232"/>
      <c r="BD81" s="258"/>
      <c r="BE81" s="232" t="s">
        <v>890</v>
      </c>
      <c r="BF81" s="232"/>
      <c r="BG81" s="232"/>
      <c r="BH81" s="21" t="e">
        <f>$AZ$15*$BO$12</f>
        <v>#N/A</v>
      </c>
      <c r="BI81" s="21" t="e">
        <f>IF($BO$12=1,ROUNDUP($AZ$15*$BO$12/5,0)*5,ROUNDUP($AZ$15*$BO$12/2,0)*2)</f>
        <v>#N/A</v>
      </c>
      <c r="BJ81" s="21" t="e">
        <f>IF($BO$12=1,ROUNDUP($AZ$15*$BO$12/10,0)*10,ROUNDUP($AZ$15*$BO$12/5,0)*5)</f>
        <v>#N/A</v>
      </c>
      <c r="BK81" s="21" t="e">
        <f t="shared" si="4"/>
        <v>#N/A</v>
      </c>
      <c r="BY81" s="265" t="s">
        <v>64</v>
      </c>
      <c r="BZ81" s="266">
        <v>0.8</v>
      </c>
      <c r="DH81" s="21">
        <f>HLS!$A80</f>
        <v>0</v>
      </c>
      <c r="DI81" s="21">
        <f>LGS!$A80</f>
        <v>0</v>
      </c>
      <c r="DJ81" s="21">
        <f>FCS!$A80</f>
        <v>0</v>
      </c>
      <c r="DK81" s="21">
        <f>VDS!$A80</f>
        <v>0</v>
      </c>
      <c r="DL81" s="264"/>
      <c r="DM81" s="21">
        <f>'OPT1'!$A80</f>
        <v>0</v>
      </c>
      <c r="DN81" s="21">
        <f>'OPT2'!$A80</f>
        <v>0</v>
      </c>
    </row>
    <row r="82" spans="22:118" ht="25.2" customHeight="1">
      <c r="X82" s="295"/>
      <c r="AD82" s="21" t="s">
        <v>1155</v>
      </c>
      <c r="AE82" s="21">
        <f>CTRL!E6</f>
        <v>18</v>
      </c>
      <c r="AF82" s="271"/>
      <c r="AG82" s="271"/>
      <c r="AH82" s="271"/>
      <c r="AI82" s="271"/>
      <c r="AJ82" s="296"/>
      <c r="AM82" s="243" t="s">
        <v>834</v>
      </c>
      <c r="AN82" s="256"/>
      <c r="AO82" s="271"/>
      <c r="AP82" s="253" t="s">
        <v>884</v>
      </c>
      <c r="AQ82" s="271"/>
      <c r="AR82" s="271"/>
      <c r="AS82" s="21" t="e">
        <f>SUM(AS77:AS81)</f>
        <v>#N/A</v>
      </c>
      <c r="AT82" s="21" t="e">
        <f>SUM(AT77:AT81)</f>
        <v>#N/A</v>
      </c>
      <c r="AX82" s="246" t="s">
        <v>960</v>
      </c>
      <c r="AY82" s="232">
        <f>CTRL!K21</f>
        <v>8</v>
      </c>
      <c r="AZ82" s="232">
        <f>CTRL!L21</f>
        <v>-3</v>
      </c>
      <c r="BD82" s="258"/>
      <c r="BE82" s="232" t="s">
        <v>892</v>
      </c>
      <c r="BF82" s="232"/>
      <c r="BG82" s="232"/>
      <c r="BH82" s="21" t="e">
        <f>$AZ$15*$BO$13</f>
        <v>#N/A</v>
      </c>
      <c r="BI82" s="21">
        <f>IF($BO$13=0,0,ROUNDUP($AZ$15*$BO$13/2,0)*2)</f>
        <v>0</v>
      </c>
      <c r="BJ82" s="21">
        <f>IF($BO$13=0,0,ROUNDUP($AZ$15*$BO$13/5,0)*5)</f>
        <v>0</v>
      </c>
      <c r="BK82" s="21">
        <f t="shared" si="4"/>
        <v>0</v>
      </c>
      <c r="BY82" s="265" t="s">
        <v>65</v>
      </c>
      <c r="BZ82" s="266">
        <v>0.8</v>
      </c>
      <c r="DH82" s="21">
        <f>HLS!$A81</f>
        <v>0</v>
      </c>
      <c r="DI82" s="21">
        <f>LGS!$A81</f>
        <v>0</v>
      </c>
      <c r="DJ82" s="21">
        <f>FCS!$A81</f>
        <v>0</v>
      </c>
      <c r="DK82" s="21">
        <f>VDS!$A81</f>
        <v>0</v>
      </c>
      <c r="DL82" s="264"/>
      <c r="DM82" s="21">
        <f>'OPT1'!$A81</f>
        <v>0</v>
      </c>
      <c r="DN82" s="21">
        <f>'OPT2'!$A81</f>
        <v>0</v>
      </c>
    </row>
    <row r="83" spans="22:118" ht="25.2" customHeight="1">
      <c r="V83" s="229"/>
      <c r="AD83" s="21" t="s">
        <v>269</v>
      </c>
      <c r="AE83" s="21" t="e">
        <f>$AE$82-$AK$76</f>
        <v>#N/A</v>
      </c>
      <c r="AF83" s="296"/>
      <c r="AG83" s="271"/>
      <c r="AH83" s="271"/>
      <c r="AI83" s="296"/>
      <c r="AJ83" s="296"/>
      <c r="AM83" s="21" t="s">
        <v>1155</v>
      </c>
      <c r="AN83" s="21">
        <f>CTRL!E12</f>
        <v>18</v>
      </c>
      <c r="AO83" s="271"/>
      <c r="AP83" s="271"/>
      <c r="AQ83" s="271"/>
      <c r="AR83" s="271"/>
      <c r="AS83" s="296"/>
      <c r="AX83" s="232"/>
      <c r="AY83" s="232"/>
      <c r="AZ83" s="232"/>
      <c r="BD83" s="258"/>
      <c r="BE83" s="232"/>
      <c r="BF83" s="232"/>
      <c r="BG83" s="232"/>
      <c r="BH83" s="21"/>
      <c r="BI83" s="21"/>
      <c r="BJ83" s="21"/>
      <c r="BK83" s="21"/>
      <c r="BY83" s="265" t="s">
        <v>66</v>
      </c>
      <c r="BZ83" s="266">
        <v>0.8</v>
      </c>
      <c r="DH83" s="21">
        <f>HLS!$A82</f>
        <v>0</v>
      </c>
      <c r="DI83" s="21">
        <f>LGS!$A82</f>
        <v>0</v>
      </c>
      <c r="DJ83" s="21">
        <f>FCS!$A82</f>
        <v>0</v>
      </c>
      <c r="DK83" s="21">
        <f>VDS!$A82</f>
        <v>0</v>
      </c>
      <c r="DL83" s="264"/>
      <c r="DM83" s="21">
        <f>'OPT1'!$A82</f>
        <v>0</v>
      </c>
      <c r="DN83" s="21">
        <f>'OPT2'!$A82</f>
        <v>0</v>
      </c>
    </row>
    <row r="84" spans="22:118" ht="25.2" customHeight="1">
      <c r="V84" s="229"/>
      <c r="AD84" s="21" t="s">
        <v>516</v>
      </c>
      <c r="AE84" s="21" t="e">
        <f>IF($AE$83&gt;0,ROUNDDOWN((($AE$82*$AJ$76/$AK$76)-$AJ$76)/$AF$38*100,0),0)</f>
        <v>#N/A</v>
      </c>
      <c r="AF84" s="230" t="e">
        <f>IF($AE$83&gt;0,(($AE$82*$AJ$76/$AK$76)-$AJ$76)/$AF$38*100,0)</f>
        <v>#N/A</v>
      </c>
      <c r="AG84" s="296"/>
      <c r="AH84" s="243" t="s">
        <v>836</v>
      </c>
      <c r="AI84" s="238"/>
      <c r="AJ84" s="296"/>
      <c r="AM84" s="21" t="s">
        <v>269</v>
      </c>
      <c r="AN84" s="21" t="e">
        <f>$AN$83-$AT$77</f>
        <v>#N/A</v>
      </c>
      <c r="AO84" s="296"/>
      <c r="AP84" s="243" t="s">
        <v>273</v>
      </c>
      <c r="AQ84" s="243"/>
      <c r="AR84" s="243" t="s">
        <v>290</v>
      </c>
      <c r="AS84" s="243"/>
      <c r="AT84" s="249" t="s">
        <v>505</v>
      </c>
      <c r="BD84" s="258"/>
      <c r="BE84" s="232"/>
      <c r="BF84" s="232"/>
      <c r="BG84" s="232"/>
      <c r="BH84" s="21"/>
      <c r="BI84" s="21"/>
      <c r="BJ84" s="21"/>
      <c r="BK84" s="21"/>
      <c r="BY84" s="265" t="s">
        <v>667</v>
      </c>
      <c r="BZ84" s="266">
        <v>0.8</v>
      </c>
      <c r="DH84" s="21">
        <f>HLS!$A83</f>
        <v>0</v>
      </c>
      <c r="DI84" s="21">
        <f>LGS!$A83</f>
        <v>0</v>
      </c>
      <c r="DJ84" s="21">
        <f>FCS!$A83</f>
        <v>0</v>
      </c>
      <c r="DK84" s="21">
        <f>VDS!$A83</f>
        <v>0</v>
      </c>
      <c r="DL84" s="264"/>
      <c r="DM84" s="21">
        <f>'OPT1'!$A83</f>
        <v>0</v>
      </c>
      <c r="DN84" s="21">
        <f>'OPT2'!$A83</f>
        <v>0</v>
      </c>
    </row>
    <row r="85" spans="22:118" ht="25.2" customHeight="1">
      <c r="V85" s="229"/>
      <c r="AD85" s="21" t="s">
        <v>270</v>
      </c>
      <c r="AE85" s="21" t="e">
        <f>IF(CTRL!C6&gt;0,IF($AE$84&gt;0,IF($AI$70=1,EVEN($AE$84),0),0),0)</f>
        <v>#N/A</v>
      </c>
      <c r="AF85" s="296"/>
      <c r="AG85" s="296"/>
      <c r="AH85" s="256" t="str">
        <f>CTRL!B6</f>
        <v>actif</v>
      </c>
      <c r="AI85" s="238"/>
      <c r="AJ85" s="296"/>
      <c r="AM85" s="21" t="s">
        <v>516</v>
      </c>
      <c r="AN85" s="21" t="e">
        <f>IF($AN$84&gt;0,ROUNDDOWN((($AN$83*$AS$77/$AT$77)-$AS$77)/$AF$38*100,0),0)</f>
        <v>#N/A</v>
      </c>
      <c r="AO85" s="230" t="e">
        <f>IF($AN$84&gt;0,(($AN$83*$AS$77/$AT$77)-$AS$77)/$AF$38*100,0)</f>
        <v>#N/A</v>
      </c>
      <c r="AP85" s="21" t="s">
        <v>232</v>
      </c>
      <c r="AQ85" s="21" t="e">
        <f>$AO$68</f>
        <v>#N/A</v>
      </c>
      <c r="AR85" s="21" t="s">
        <v>166</v>
      </c>
      <c r="AS85" s="269" t="e">
        <f>$AS$86*$M$11/100</f>
        <v>#N/A</v>
      </c>
      <c r="AT85" s="256" t="str">
        <f>CTRL!B12</f>
        <v>actif</v>
      </c>
      <c r="BD85" s="258"/>
      <c r="BE85" s="232"/>
      <c r="BF85" s="232"/>
      <c r="BG85" s="232"/>
      <c r="BH85" s="21"/>
      <c r="BI85" s="21"/>
      <c r="BJ85" s="21"/>
      <c r="BK85" s="21"/>
      <c r="BY85" s="265" t="s">
        <v>67</v>
      </c>
      <c r="BZ85" s="266">
        <v>0.8</v>
      </c>
      <c r="DH85" s="21">
        <f>HLS!$A84</f>
        <v>0</v>
      </c>
      <c r="DI85" s="21">
        <f>LGS!$A84</f>
        <v>0</v>
      </c>
      <c r="DJ85" s="21">
        <f>FCS!$A84</f>
        <v>0</v>
      </c>
      <c r="DK85" s="21">
        <f>VDS!$A84</f>
        <v>0</v>
      </c>
      <c r="DL85" s="264"/>
      <c r="DM85" s="21">
        <f>'OPT1'!$A84</f>
        <v>0</v>
      </c>
      <c r="DN85" s="21">
        <f>'OPT2'!$A84</f>
        <v>0</v>
      </c>
    </row>
    <row r="86" spans="22:118" ht="25.2" customHeight="1">
      <c r="V86" s="229"/>
      <c r="AD86" s="21" t="s">
        <v>840</v>
      </c>
      <c r="AE86" s="21" t="e">
        <f>$AQ$70+$AE$85</f>
        <v>#N/A</v>
      </c>
      <c r="AF86" s="296"/>
      <c r="AG86" s="296"/>
      <c r="AH86" s="238"/>
      <c r="AI86" s="238"/>
      <c r="AJ86" s="296"/>
      <c r="AM86" s="21" t="s">
        <v>270</v>
      </c>
      <c r="AN86" s="21" t="e">
        <f>IF(CTRL!C12&gt;0,IF($AN$85&gt;0,EVEN($AN$85),0),0)</f>
        <v>#N/A</v>
      </c>
      <c r="AO86" s="275" t="s">
        <v>920</v>
      </c>
      <c r="AP86" s="275" t="s">
        <v>921</v>
      </c>
      <c r="AQ86" s="296"/>
      <c r="AR86" s="21" t="s">
        <v>228</v>
      </c>
      <c r="AS86" s="21" t="e">
        <f>IF($AI$60=1,ROUND(($Z$35-$AE$52-$AS$70)/$M$11*100,0),$AE$24)</f>
        <v>#N/A</v>
      </c>
      <c r="AT86" s="256"/>
      <c r="BY86" s="265" t="s">
        <v>68</v>
      </c>
      <c r="BZ86" s="266">
        <v>0.8</v>
      </c>
      <c r="DH86" s="21">
        <f>HLS!$A85</f>
        <v>0</v>
      </c>
      <c r="DI86" s="21">
        <f>LGS!$A85</f>
        <v>0</v>
      </c>
      <c r="DJ86" s="21">
        <f>FCS!$A85</f>
        <v>0</v>
      </c>
      <c r="DK86" s="21">
        <f>VDS!$A85</f>
        <v>0</v>
      </c>
      <c r="DL86" s="264"/>
      <c r="DM86" s="21">
        <f>'OPT1'!$A85</f>
        <v>0</v>
      </c>
      <c r="DN86" s="21">
        <f>'OPT2'!$A85</f>
        <v>0</v>
      </c>
    </row>
    <row r="87" spans="22:118" ht="25.2" customHeight="1">
      <c r="V87" s="229"/>
      <c r="AD87" s="296"/>
      <c r="AE87" s="296"/>
      <c r="AF87" s="296"/>
      <c r="AG87" s="296"/>
      <c r="AH87" s="296"/>
      <c r="AI87" s="296"/>
      <c r="AJ87" s="296"/>
      <c r="AM87" s="21" t="s">
        <v>1156</v>
      </c>
      <c r="AN87" s="21" t="e">
        <f>IF($AQ$70+$AN$86&lt;$AU$65,$AU$65,$AQ$70+$AN$86)</f>
        <v>#N/A</v>
      </c>
      <c r="AO87" s="21" t="e">
        <f>IF($AN$87&lt;$AU$68,ROUNDDOWN($AN$87/$AU$65,0)*$AU$65,ROUNDDOWN($AN$87/$AU$66,0)*$AU$66)</f>
        <v>#N/A</v>
      </c>
      <c r="AP87" s="21" t="e">
        <f>IF($AO$87&gt;$AQ$69,$AQ$69,$AO$87)</f>
        <v>#N/A</v>
      </c>
      <c r="AQ87" s="296"/>
      <c r="AR87" s="296"/>
      <c r="AS87" s="253" t="s">
        <v>956</v>
      </c>
      <c r="AT87" s="21" t="e">
        <f>IF($AT$81&lt;$AY$78,0,IF($AT$81&lt;$AY$80,$AZ$78,IF($AT$81&lt;$AY$82,$AZ$80,$AZ$82)))</f>
        <v>#N/A</v>
      </c>
      <c r="BY87" s="265" t="s">
        <v>69</v>
      </c>
      <c r="BZ87" s="266">
        <v>1</v>
      </c>
      <c r="DH87" s="21">
        <f>HLS!$A86</f>
        <v>0</v>
      </c>
      <c r="DI87" s="21">
        <f>LGS!$A86</f>
        <v>0</v>
      </c>
      <c r="DJ87" s="21">
        <f>FCS!$A86</f>
        <v>0</v>
      </c>
      <c r="DK87" s="21">
        <f>VDS!$A86</f>
        <v>0</v>
      </c>
      <c r="DL87" s="264"/>
      <c r="DM87" s="21">
        <f>'OPT1'!$A86</f>
        <v>0</v>
      </c>
      <c r="DN87" s="21">
        <f>'OPT2'!$A86</f>
        <v>0</v>
      </c>
    </row>
    <row r="88" spans="22:118" ht="25.2" customHeight="1">
      <c r="V88" s="229"/>
      <c r="AD88" s="243" t="s">
        <v>839</v>
      </c>
      <c r="AE88" s="256"/>
      <c r="BY88" s="265" t="s">
        <v>70</v>
      </c>
      <c r="BZ88" s="266">
        <v>1</v>
      </c>
      <c r="DH88" s="21">
        <f>HLS!$A87</f>
        <v>0</v>
      </c>
      <c r="DI88" s="21">
        <f>LGS!$A87</f>
        <v>0</v>
      </c>
      <c r="DJ88" s="21">
        <f>FCS!$A87</f>
        <v>0</v>
      </c>
      <c r="DK88" s="21">
        <f>VDS!$A87</f>
        <v>0</v>
      </c>
      <c r="DL88" s="264"/>
      <c r="DM88" s="21">
        <f>'OPT1'!$A87</f>
        <v>0</v>
      </c>
      <c r="DN88" s="21">
        <f>'OPT2'!$A87</f>
        <v>0</v>
      </c>
    </row>
    <row r="89" spans="22:118" ht="25.2" customHeight="1">
      <c r="V89" s="229"/>
      <c r="AD89" s="21" t="s">
        <v>1157</v>
      </c>
      <c r="AE89" s="21">
        <f>CTRL!E22</f>
        <v>8</v>
      </c>
      <c r="AM89" s="21"/>
      <c r="AN89" s="21"/>
      <c r="AO89" s="21"/>
      <c r="AP89" s="21"/>
      <c r="BY89" s="265" t="s">
        <v>668</v>
      </c>
      <c r="BZ89" s="266">
        <v>1</v>
      </c>
      <c r="DH89" s="21">
        <f>HLS!$A88</f>
        <v>0</v>
      </c>
      <c r="DI89" s="21">
        <f>LGS!$A88</f>
        <v>0</v>
      </c>
      <c r="DJ89" s="21">
        <f>FCS!$A88</f>
        <v>0</v>
      </c>
      <c r="DK89" s="21">
        <f>VDS!$A88</f>
        <v>0</v>
      </c>
      <c r="DL89" s="264"/>
      <c r="DM89" s="21">
        <f>'OPT1'!$A88</f>
        <v>0</v>
      </c>
      <c r="DN89" s="21">
        <f>'OPT2'!$A88</f>
        <v>0</v>
      </c>
    </row>
    <row r="90" spans="22:118" ht="25.2" customHeight="1">
      <c r="V90" s="229"/>
      <c r="AD90" s="21" t="s">
        <v>269</v>
      </c>
      <c r="AE90" s="21" t="e">
        <f>$AE$89-$AK$76</f>
        <v>#N/A</v>
      </c>
      <c r="AM90" s="243" t="s">
        <v>1080</v>
      </c>
      <c r="AN90" s="232"/>
      <c r="AO90" s="232"/>
      <c r="AP90" s="232"/>
      <c r="AQ90" s="232"/>
      <c r="AR90" s="232"/>
      <c r="AS90" s="232"/>
      <c r="AT90" s="238"/>
      <c r="BY90" s="265" t="s">
        <v>71</v>
      </c>
      <c r="BZ90" s="266">
        <v>0.9</v>
      </c>
      <c r="DH90" s="21">
        <f>HLS!$A89</f>
        <v>0</v>
      </c>
      <c r="DI90" s="21">
        <f>LGS!$A89</f>
        <v>0</v>
      </c>
      <c r="DJ90" s="21">
        <f>FCS!$A89</f>
        <v>0</v>
      </c>
      <c r="DK90" s="21">
        <f>VDS!$A89</f>
        <v>0</v>
      </c>
      <c r="DL90" s="264"/>
      <c r="DM90" s="21">
        <f>'OPT1'!$A89</f>
        <v>0</v>
      </c>
      <c r="DN90" s="21">
        <f>'OPT2'!$A89</f>
        <v>0</v>
      </c>
    </row>
    <row r="91" spans="22:118" ht="25.2" customHeight="1">
      <c r="V91" s="229"/>
      <c r="AD91" s="21" t="s">
        <v>516</v>
      </c>
      <c r="AE91" s="21" t="e">
        <f>IF($AE$90&gt;0,ROUNDDOWN((($AE$89*$AJ$76/$AK$76)-$AJ$76)/$AF$38*100,0),0)</f>
        <v>#N/A</v>
      </c>
      <c r="AF91" s="230" t="e">
        <f>IF($AE$90&gt;0,(($AE$89*$AJ$76/$AK$76)-$AJ$76)/$AF$38*100,0)</f>
        <v>#N/A</v>
      </c>
      <c r="AH91" s="243" t="s">
        <v>838</v>
      </c>
      <c r="AI91" s="238"/>
      <c r="BY91" s="265" t="s">
        <v>72</v>
      </c>
      <c r="BZ91" s="266">
        <v>1</v>
      </c>
      <c r="DH91" s="21">
        <f>HLS!$A90</f>
        <v>0</v>
      </c>
      <c r="DI91" s="21">
        <f>LGS!$A90</f>
        <v>0</v>
      </c>
      <c r="DJ91" s="21">
        <f>FCS!$A90</f>
        <v>0</v>
      </c>
      <c r="DK91" s="21">
        <f>VDS!$A90</f>
        <v>0</v>
      </c>
      <c r="DL91" s="264"/>
      <c r="DM91" s="21">
        <f>'OPT1'!$A90</f>
        <v>0</v>
      </c>
      <c r="DN91" s="21">
        <f>'OPT2'!$A90</f>
        <v>0</v>
      </c>
    </row>
    <row r="92" spans="22:118" ht="25.2" customHeight="1">
      <c r="V92" s="229"/>
      <c r="AD92" s="21" t="s">
        <v>270</v>
      </c>
      <c r="AE92" s="21" t="e">
        <f>IF(CTRL!C22&gt;0,IF($AE$91&gt;0,IF($AI$70=0,EVEN($AE$91),0),0),0)</f>
        <v>#N/A</v>
      </c>
      <c r="AH92" s="256" t="str">
        <f>CTRL!B22</f>
        <v>actif</v>
      </c>
      <c r="AI92" s="238"/>
      <c r="AM92" s="243" t="s">
        <v>776</v>
      </c>
      <c r="AN92" s="238"/>
      <c r="AO92" s="238"/>
      <c r="AP92" s="238"/>
      <c r="AQ92" s="238"/>
      <c r="AR92" s="238"/>
      <c r="AS92" s="238"/>
      <c r="AT92" s="238"/>
      <c r="BY92" s="265" t="s">
        <v>669</v>
      </c>
      <c r="BZ92" s="266">
        <v>1</v>
      </c>
      <c r="DH92" s="21">
        <f>HLS!$A91</f>
        <v>0</v>
      </c>
      <c r="DI92" s="21">
        <f>LGS!$A91</f>
        <v>0</v>
      </c>
      <c r="DJ92" s="21">
        <f>FCS!$A91</f>
        <v>0</v>
      </c>
      <c r="DK92" s="21">
        <f>VDS!$A91</f>
        <v>0</v>
      </c>
      <c r="DL92" s="264"/>
      <c r="DM92" s="21">
        <f>'OPT1'!$A91</f>
        <v>0</v>
      </c>
      <c r="DN92" s="21">
        <f>'OPT2'!$A91</f>
        <v>0</v>
      </c>
    </row>
    <row r="93" spans="22:118" ht="25.2" customHeight="1">
      <c r="AD93" s="21" t="s">
        <v>840</v>
      </c>
      <c r="AE93" s="21" t="e">
        <f>$AQ$70+$AE$92</f>
        <v>#N/A</v>
      </c>
      <c r="AF93" s="296"/>
      <c r="AH93" s="238"/>
      <c r="AI93" s="238"/>
      <c r="AM93" s="21" t="str">
        <f>"MODE "&amp;IF($I$7=$AD$25,"LOW CARB","SUPER PREMIUM")</f>
        <v>MODE SUPER PREMIUM</v>
      </c>
      <c r="AN93" s="21" t="s">
        <v>181</v>
      </c>
      <c r="AO93" s="21" t="s">
        <v>271</v>
      </c>
      <c r="AP93" s="21" t="s">
        <v>272</v>
      </c>
      <c r="AQ93" s="21" t="s">
        <v>233</v>
      </c>
      <c r="AR93" s="21" t="s">
        <v>775</v>
      </c>
      <c r="AS93" s="21" t="s">
        <v>774</v>
      </c>
      <c r="AT93" s="21" t="s">
        <v>264</v>
      </c>
      <c r="BY93" s="265" t="s">
        <v>73</v>
      </c>
      <c r="BZ93" s="266">
        <v>0.9</v>
      </c>
      <c r="DH93" s="21">
        <f>HLS!$A92</f>
        <v>0</v>
      </c>
      <c r="DI93" s="21">
        <f>LGS!$A92</f>
        <v>0</v>
      </c>
      <c r="DJ93" s="21">
        <f>FCS!$A92</f>
        <v>0</v>
      </c>
      <c r="DK93" s="21">
        <f>VDS!$A92</f>
        <v>0</v>
      </c>
      <c r="DL93" s="264"/>
      <c r="DM93" s="21">
        <f>'OPT1'!$A92</f>
        <v>0</v>
      </c>
      <c r="DN93" s="21">
        <f>'OPT2'!$A92</f>
        <v>0</v>
      </c>
    </row>
    <row r="94" spans="22:118" ht="25.2" customHeight="1">
      <c r="AF94" s="275" t="s">
        <v>920</v>
      </c>
      <c r="AG94" s="275" t="s">
        <v>921</v>
      </c>
      <c r="AM94" s="21" t="s">
        <v>768</v>
      </c>
      <c r="AN94" s="21" t="e">
        <f>IF($I$7=$AD$25,$AE$25,$AE$24)</f>
        <v>#N/A</v>
      </c>
      <c r="AO94" s="253">
        <f>$BK$79</f>
        <v>0</v>
      </c>
      <c r="AP94" s="253" t="e">
        <f>$BK$80</f>
        <v>#N/A</v>
      </c>
      <c r="AQ94" s="21">
        <f>IF($M$14&gt;0,$AQ$70,0)</f>
        <v>0</v>
      </c>
      <c r="AR94" s="21">
        <v>4</v>
      </c>
      <c r="AS94" s="21" t="e">
        <f t="shared" ref="AS94:AS99" si="8">SUM(AN94:AR94)</f>
        <v>#N/A</v>
      </c>
      <c r="BY94" s="265" t="s">
        <v>670</v>
      </c>
      <c r="BZ94" s="266">
        <v>0.9</v>
      </c>
      <c r="DH94" s="21">
        <f>HLS!$A93</f>
        <v>0</v>
      </c>
      <c r="DI94" s="21">
        <f>LGS!$A93</f>
        <v>0</v>
      </c>
      <c r="DJ94" s="21">
        <f>FCS!$A93</f>
        <v>0</v>
      </c>
      <c r="DK94" s="21">
        <f>VDS!$A93</f>
        <v>0</v>
      </c>
      <c r="DL94" s="264"/>
      <c r="DM94" s="21">
        <f>'OPT1'!$A93</f>
        <v>0</v>
      </c>
      <c r="DN94" s="21">
        <f>'OPT2'!$A93</f>
        <v>0</v>
      </c>
    </row>
    <row r="95" spans="22:118" ht="25.2" customHeight="1">
      <c r="W95" s="241" t="s">
        <v>978</v>
      </c>
      <c r="X95" s="245"/>
      <c r="Y95" s="245"/>
      <c r="Z95" s="245"/>
      <c r="AD95" s="253" t="s">
        <v>1158</v>
      </c>
      <c r="AE95" s="21" t="e">
        <f>IF($AQ$70+$AE$92+$AE$85&lt;$AU$65,$AU$65,$AQ$70+$AE$92+$AE$85)</f>
        <v>#N/A</v>
      </c>
      <c r="AF95" s="21" t="e">
        <f>IF($AE$95&lt;$AU$68,ROUNDDOWN($AE$95/$AU$65,0)*$AU$65,ROUNDDOWN($AE$95/$AU$66,0)*$AU$66)</f>
        <v>#N/A</v>
      </c>
      <c r="AG95" s="21" t="e">
        <f>IF($AF$95&gt;$AQ$69,$AQ$69,$AF$95)</f>
        <v>#N/A</v>
      </c>
      <c r="AM95" s="21" t="s">
        <v>769</v>
      </c>
      <c r="AN95" s="21" t="e">
        <f>$AF$35/100*$AN$94</f>
        <v>#N/A</v>
      </c>
      <c r="AO95" s="21">
        <f>$AF$37/100*$AO$94</f>
        <v>0</v>
      </c>
      <c r="AP95" s="21" t="e">
        <f>$AF$36/100*$AP$94</f>
        <v>#N/A</v>
      </c>
      <c r="AQ95" s="21">
        <f>$AF$38/100*$AQ$94</f>
        <v>0</v>
      </c>
      <c r="AR95" s="21">
        <f>$AF$34/100*$AR$94</f>
        <v>0</v>
      </c>
      <c r="AS95" s="21" t="e">
        <f t="shared" si="8"/>
        <v>#N/A</v>
      </c>
      <c r="AT95" s="21" t="e">
        <f>AS95*100/$AS$100</f>
        <v>#N/A</v>
      </c>
      <c r="BY95" s="265" t="s">
        <v>671</v>
      </c>
      <c r="BZ95" s="266">
        <v>0.9</v>
      </c>
      <c r="DH95" s="21">
        <f>HLS!$A94</f>
        <v>0</v>
      </c>
      <c r="DI95" s="21">
        <f>LGS!$A94</f>
        <v>0</v>
      </c>
      <c r="DJ95" s="21">
        <f>FCS!$A94</f>
        <v>0</v>
      </c>
      <c r="DK95" s="21">
        <f>VDS!$A94</f>
        <v>0</v>
      </c>
      <c r="DL95" s="264"/>
      <c r="DM95" s="21">
        <f>'OPT1'!$A94</f>
        <v>0</v>
      </c>
      <c r="DN95" s="21">
        <f>'OPT2'!$A94</f>
        <v>0</v>
      </c>
    </row>
    <row r="96" spans="22:118" ht="25.2" customHeight="1">
      <c r="W96" s="245"/>
      <c r="X96" s="245"/>
      <c r="Y96" s="245"/>
      <c r="Z96" s="245"/>
      <c r="AD96" s="253" t="s">
        <v>956</v>
      </c>
      <c r="AE96" s="21" t="e">
        <f>IF($AK$80&lt;$AY$78,0,IF($AK$80&lt;$AY$80,$AZ$78,IF($AK$80&lt;$AY$82,$AZ$80,$AZ$82)))</f>
        <v>#N/A</v>
      </c>
      <c r="AM96" s="21" t="s">
        <v>770</v>
      </c>
      <c r="AN96" s="21" t="e">
        <f>$AE$35/100*$AN$94</f>
        <v>#N/A</v>
      </c>
      <c r="AO96" s="21">
        <f>$AE$37/100*$AO$94</f>
        <v>0</v>
      </c>
      <c r="AP96" s="21" t="e">
        <f>$AE$36/100*$AP$94</f>
        <v>#N/A</v>
      </c>
      <c r="AQ96" s="21">
        <f>$AE$38/100*$AQ$94</f>
        <v>0</v>
      </c>
      <c r="AR96" s="21">
        <f>$AE$34/100*$AR$94</f>
        <v>0</v>
      </c>
      <c r="AS96" s="21" t="e">
        <f t="shared" si="8"/>
        <v>#N/A</v>
      </c>
      <c r="AT96" s="21" t="e">
        <f>AS96*100/$AS$100</f>
        <v>#N/A</v>
      </c>
      <c r="BY96" s="265" t="s">
        <v>672</v>
      </c>
      <c r="BZ96" s="266">
        <v>0.9</v>
      </c>
      <c r="DH96" s="21">
        <f>HLS!$A95</f>
        <v>0</v>
      </c>
      <c r="DI96" s="21">
        <f>LGS!$A95</f>
        <v>0</v>
      </c>
      <c r="DJ96" s="21">
        <f>FCS!$A95</f>
        <v>0</v>
      </c>
      <c r="DK96" s="21">
        <f>VDS!$A95</f>
        <v>0</v>
      </c>
      <c r="DL96" s="264"/>
      <c r="DM96" s="21">
        <f>'OPT1'!$A95</f>
        <v>0</v>
      </c>
      <c r="DN96" s="21">
        <f>'OPT2'!$A95</f>
        <v>0</v>
      </c>
    </row>
    <row r="97" spans="23:118" ht="25.2" customHeight="1">
      <c r="W97" s="245"/>
      <c r="X97" s="245"/>
      <c r="Y97" s="245"/>
      <c r="Z97" s="245"/>
      <c r="AM97" s="21" t="s">
        <v>771</v>
      </c>
      <c r="AN97" s="21" t="e">
        <f>$AG$35/100*$AN$94</f>
        <v>#N/A</v>
      </c>
      <c r="AO97" s="21">
        <f>$AG$37/100*$AO$94</f>
        <v>0</v>
      </c>
      <c r="AP97" s="21" t="e">
        <f>$AG$36/100*$AP$94</f>
        <v>#N/A</v>
      </c>
      <c r="AQ97" s="21">
        <f>$AG$38/100*$AQ$94</f>
        <v>0</v>
      </c>
      <c r="AR97" s="21">
        <f>$AG$34/100*$AR$94</f>
        <v>0</v>
      </c>
      <c r="AS97" s="21" t="e">
        <f t="shared" si="8"/>
        <v>#N/A</v>
      </c>
      <c r="AT97" s="21" t="e">
        <f>AS97*100/$AS$100</f>
        <v>#N/A</v>
      </c>
      <c r="BY97" s="265" t="s">
        <v>673</v>
      </c>
      <c r="BZ97" s="266">
        <v>1</v>
      </c>
      <c r="DH97" s="21">
        <f>HLS!$A96</f>
        <v>0</v>
      </c>
      <c r="DI97" s="21">
        <f>LGS!$A96</f>
        <v>0</v>
      </c>
      <c r="DJ97" s="21">
        <f>FCS!$A96</f>
        <v>0</v>
      </c>
      <c r="DK97" s="21">
        <f>VDS!$A96</f>
        <v>0</v>
      </c>
      <c r="DL97" s="264"/>
      <c r="DM97" s="21">
        <f>'OPT1'!$A96</f>
        <v>0</v>
      </c>
      <c r="DN97" s="21">
        <f>'OPT2'!$A96</f>
        <v>0</v>
      </c>
    </row>
    <row r="98" spans="23:118" ht="25.2" customHeight="1">
      <c r="W98" s="21" t="s">
        <v>979</v>
      </c>
      <c r="X98" s="21">
        <v>1</v>
      </c>
      <c r="Y98" s="230" t="s">
        <v>985</v>
      </c>
      <c r="AD98" s="297"/>
      <c r="AE98" s="297"/>
      <c r="AF98" s="297"/>
      <c r="AG98" s="297"/>
      <c r="AH98" s="297"/>
      <c r="AI98" s="297"/>
      <c r="AJ98" s="297"/>
      <c r="AM98" s="21" t="s">
        <v>772</v>
      </c>
      <c r="AN98" s="21" t="e">
        <f>$AH$35/100*$AN$94</f>
        <v>#N/A</v>
      </c>
      <c r="AO98" s="21">
        <f>$AH$37/100*$AO$94</f>
        <v>0</v>
      </c>
      <c r="AP98" s="21" t="e">
        <f>$AH$36/100*$AP$94</f>
        <v>#N/A</v>
      </c>
      <c r="AQ98" s="21">
        <f>$AH$38/100*$AQ$94</f>
        <v>0</v>
      </c>
      <c r="AR98" s="21">
        <f>$AH$34/100*$AR$94</f>
        <v>0</v>
      </c>
      <c r="AS98" s="21" t="e">
        <f t="shared" si="8"/>
        <v>#N/A</v>
      </c>
      <c r="AT98" s="21" t="e">
        <f>AS98*100/$AS$100</f>
        <v>#N/A</v>
      </c>
      <c r="BY98" s="265" t="s">
        <v>674</v>
      </c>
      <c r="BZ98" s="266">
        <v>0.8</v>
      </c>
      <c r="DH98" s="21">
        <f>HLS!$A97</f>
        <v>0</v>
      </c>
      <c r="DI98" s="21">
        <f>LGS!$A97</f>
        <v>0</v>
      </c>
      <c r="DJ98" s="21">
        <f>FCS!$A97</f>
        <v>0</v>
      </c>
      <c r="DK98" s="21">
        <f>VDS!$A97</f>
        <v>0</v>
      </c>
      <c r="DL98" s="264"/>
      <c r="DM98" s="21">
        <f>'OPT1'!$A97</f>
        <v>0</v>
      </c>
      <c r="DN98" s="21">
        <f>'OPT2'!$A97</f>
        <v>0</v>
      </c>
    </row>
    <row r="99" spans="23:118" ht="25.2" customHeight="1">
      <c r="W99" s="21" t="s">
        <v>980</v>
      </c>
      <c r="X99" s="21">
        <v>0.5</v>
      </c>
      <c r="Y99" s="230" t="s">
        <v>982</v>
      </c>
      <c r="AD99" s="241" t="s">
        <v>951</v>
      </c>
      <c r="AE99" s="21" t="s">
        <v>950</v>
      </c>
      <c r="AF99" s="21" t="s">
        <v>920</v>
      </c>
      <c r="AG99" s="21"/>
      <c r="AH99" s="21"/>
      <c r="AI99" s="21"/>
      <c r="AJ99" s="21"/>
      <c r="AM99" s="21" t="s">
        <v>773</v>
      </c>
      <c r="AN99" s="21" t="e">
        <f>$AI$35/100*$AN$94</f>
        <v>#N/A</v>
      </c>
      <c r="AO99" s="21">
        <f>$AI$37/100*$AO$94</f>
        <v>0</v>
      </c>
      <c r="AP99" s="21" t="e">
        <f>$AI$36/100*$AP$94</f>
        <v>#N/A</v>
      </c>
      <c r="AQ99" s="21">
        <f>$AI$38/100*$AQ$94</f>
        <v>0</v>
      </c>
      <c r="AR99" s="21">
        <f>$AI$34/100*$AR$94</f>
        <v>0</v>
      </c>
      <c r="AS99" s="21" t="e">
        <f t="shared" si="8"/>
        <v>#N/A</v>
      </c>
      <c r="AT99" s="21" t="e">
        <f>AS99*100/$AS$100</f>
        <v>#N/A</v>
      </c>
      <c r="BY99" s="265" t="s">
        <v>675</v>
      </c>
      <c r="BZ99" s="266">
        <v>1</v>
      </c>
      <c r="DH99" s="21">
        <f>HLS!$A98</f>
        <v>0</v>
      </c>
      <c r="DI99" s="21">
        <f>LGS!$A98</f>
        <v>0</v>
      </c>
      <c r="DJ99" s="21">
        <f>FCS!$A98</f>
        <v>0</v>
      </c>
      <c r="DK99" s="21">
        <f>VDS!$A98</f>
        <v>0</v>
      </c>
      <c r="DL99" s="264"/>
      <c r="DM99" s="21">
        <f>'OPT1'!$A98</f>
        <v>0</v>
      </c>
      <c r="DN99" s="21">
        <f>'OPT2'!$A98</f>
        <v>0</v>
      </c>
    </row>
    <row r="100" spans="23:118" ht="25.2" customHeight="1">
      <c r="AD100" s="243"/>
      <c r="AE100" s="21">
        <f>$AF$17</f>
        <v>0</v>
      </c>
      <c r="AF100" s="21">
        <f>IF($AE$100&lt;$AU$68,ROUNDDOWN($AE$100/$AU$65,0)*$AU$65,ROUNDDOWN($AE$100/$AU$66,0)*$AU$66)</f>
        <v>0</v>
      </c>
      <c r="AG100" s="21"/>
      <c r="AH100" s="21"/>
      <c r="AI100" s="21"/>
      <c r="AJ100" s="297"/>
      <c r="AM100" s="243" t="s">
        <v>834</v>
      </c>
      <c r="AN100" s="256"/>
      <c r="AP100" s="253" t="s">
        <v>884</v>
      </c>
      <c r="AS100" s="21" t="e">
        <f>SUM(AS95:AS99)</f>
        <v>#N/A</v>
      </c>
      <c r="AT100" s="21" t="e">
        <f>SUM(AT95:AT99)</f>
        <v>#N/A</v>
      </c>
      <c r="BY100" s="265" t="s">
        <v>676</v>
      </c>
      <c r="BZ100" s="266">
        <v>1</v>
      </c>
      <c r="DH100" s="21">
        <f>HLS!$A99</f>
        <v>0</v>
      </c>
      <c r="DI100" s="21">
        <f>LGS!$A99</f>
        <v>0</v>
      </c>
      <c r="DJ100" s="21">
        <f>FCS!$A99</f>
        <v>0</v>
      </c>
      <c r="DK100" s="21">
        <f>VDS!$A99</f>
        <v>0</v>
      </c>
      <c r="DL100" s="264"/>
      <c r="DM100" s="21">
        <f>'OPT1'!$A99</f>
        <v>0</v>
      </c>
      <c r="DN100" s="21">
        <f>'OPT2'!$A99</f>
        <v>0</v>
      </c>
    </row>
    <row r="101" spans="23:118" ht="25.2" customHeight="1">
      <c r="W101" s="21" t="s">
        <v>986</v>
      </c>
      <c r="X101" s="21">
        <f>IF($I$9&gt;0,VLOOKUP($I$9,$W$98:$Y$99,2,0),1)</f>
        <v>1</v>
      </c>
      <c r="AD101" s="21"/>
      <c r="AE101" s="258"/>
      <c r="AF101" s="21"/>
      <c r="AG101" s="21"/>
      <c r="AH101" s="297"/>
      <c r="AI101" s="21"/>
      <c r="AJ101" s="21"/>
      <c r="AM101" s="21" t="s">
        <v>1157</v>
      </c>
      <c r="AN101" s="21">
        <f>CTRL!E20</f>
        <v>8</v>
      </c>
      <c r="BY101" s="265" t="s">
        <v>677</v>
      </c>
      <c r="BZ101" s="266">
        <v>1.2</v>
      </c>
      <c r="DH101" s="21">
        <f>HLS!$A100</f>
        <v>0</v>
      </c>
      <c r="DI101" s="21">
        <f>LGS!$A100</f>
        <v>0</v>
      </c>
      <c r="DJ101" s="21">
        <f>FCS!$A100</f>
        <v>0</v>
      </c>
      <c r="DK101" s="21">
        <f>VDS!$A100</f>
        <v>0</v>
      </c>
      <c r="DL101" s="264"/>
      <c r="DM101" s="21">
        <f>'OPT1'!$A100</f>
        <v>0</v>
      </c>
      <c r="DN101" s="21">
        <f>'OPT2'!$A100</f>
        <v>0</v>
      </c>
    </row>
    <row r="102" spans="23:118" ht="25.2" customHeight="1">
      <c r="W102" s="21" t="s">
        <v>987</v>
      </c>
      <c r="X102" s="21">
        <f>IF($I$8&lt;&gt;CMV!$A$12,IF($I$8&lt;&gt;CMV!$A$15,1,0.5),0.5)</f>
        <v>1</v>
      </c>
      <c r="AD102" s="243" t="s">
        <v>963</v>
      </c>
      <c r="AE102" s="232"/>
      <c r="AF102" s="232"/>
      <c r="AG102" s="232"/>
      <c r="AH102" s="232"/>
      <c r="AI102" s="21"/>
      <c r="AJ102" s="21"/>
      <c r="AM102" s="21" t="s">
        <v>269</v>
      </c>
      <c r="AN102" s="21" t="e">
        <f>$AN$101-$AT$95</f>
        <v>#N/A</v>
      </c>
      <c r="AR102" s="243" t="s">
        <v>835</v>
      </c>
      <c r="AS102" s="243"/>
      <c r="AT102" s="249" t="s">
        <v>505</v>
      </c>
      <c r="BY102" s="265" t="s">
        <v>74</v>
      </c>
      <c r="BZ102" s="266">
        <v>1.1000000000000001</v>
      </c>
    </row>
    <row r="103" spans="23:118" ht="25.2" customHeight="1">
      <c r="W103" s="21" t="s">
        <v>988</v>
      </c>
      <c r="X103" s="21">
        <f>IF($X$102&lt;1,IF($X$101&lt;1,0,-1),0)</f>
        <v>0</v>
      </c>
      <c r="AD103" s="253" t="s">
        <v>964</v>
      </c>
      <c r="AE103" s="253" t="s">
        <v>966</v>
      </c>
      <c r="AF103" s="253" t="s">
        <v>965</v>
      </c>
      <c r="AG103" s="253" t="s">
        <v>967</v>
      </c>
      <c r="AH103" s="253" t="s">
        <v>921</v>
      </c>
      <c r="AI103" s="21"/>
      <c r="AJ103" s="21" t="s">
        <v>968</v>
      </c>
      <c r="AM103" s="21" t="s">
        <v>516</v>
      </c>
      <c r="AN103" s="21" t="e">
        <f>IF($AN$102&gt;0,ROUNDDOWN((($AN$101*$AS$95/$AT$95)-$AS$95)/$AF$38*100,0),0)</f>
        <v>#N/A</v>
      </c>
      <c r="AO103" s="230" t="e">
        <f>IF($AN$102&gt;0,(($AN$101*$AS$95/$AT$95)-$AS$95)/$AF$38*100,0)</f>
        <v>#N/A</v>
      </c>
      <c r="AR103" s="21" t="s">
        <v>166</v>
      </c>
      <c r="AS103" s="269" t="e">
        <f>$Z$35-($AN$94*$M$11/100)-($AP$94*$M$12/100)-($AQ$94*$M$14/100)</f>
        <v>#N/A</v>
      </c>
      <c r="AT103" s="256" t="str">
        <f>CTRL!B20</f>
        <v>actif</v>
      </c>
      <c r="BY103" s="265" t="s">
        <v>678</v>
      </c>
      <c r="BZ103" s="266">
        <v>1.2</v>
      </c>
    </row>
    <row r="104" spans="23:118" ht="25.2" customHeight="1">
      <c r="AD104" s="240" t="str">
        <f>AD24</f>
        <v>SUPER PREMIUM (riche en viande)</v>
      </c>
      <c r="AE104" s="21" t="e">
        <f>$AT$105</f>
        <v>#N/A</v>
      </c>
      <c r="AF104" s="21" t="e">
        <f>$AE$51</f>
        <v>#N/A</v>
      </c>
      <c r="AG104" s="21" t="e">
        <f>AF104+AE104</f>
        <v>#N/A</v>
      </c>
      <c r="AH104" s="21" t="e">
        <f>IF($AG104&gt;$AE$47,IF($AG104&gt;$AE$48,$AE$48,$AG104),$AE$47)</f>
        <v>#N/A</v>
      </c>
      <c r="AJ104" s="21" t="e">
        <f>VLOOKUP($I$7,$AD$104:$AH$108,5,0)</f>
        <v>#N/A</v>
      </c>
      <c r="AM104" s="21" t="s">
        <v>270</v>
      </c>
      <c r="AN104" s="21" t="e">
        <f>IF(CTRL!C20&gt;0,IF($AN$103&gt;0,EVEN($AN$103),0),0)</f>
        <v>#N/A</v>
      </c>
      <c r="AO104" s="275" t="s">
        <v>920</v>
      </c>
      <c r="AP104" s="275" t="s">
        <v>921</v>
      </c>
      <c r="AR104" s="21" t="s">
        <v>228</v>
      </c>
      <c r="AS104" s="21">
        <f>IF($M$13&gt;0,ROUND($AS$103*100/$M$13,0),0)</f>
        <v>0</v>
      </c>
      <c r="AT104" s="256"/>
      <c r="BY104" s="265" t="s">
        <v>679</v>
      </c>
      <c r="BZ104" s="266">
        <v>1</v>
      </c>
    </row>
    <row r="105" spans="23:118" ht="25.2" customHeight="1">
      <c r="W105" s="21" t="s">
        <v>989</v>
      </c>
      <c r="X105" s="240" t="str">
        <f>"
NE PAS OUBLIER d'apporter le reste de la ration en croquettes !"</f>
        <v xml:space="preserve">
NE PAS OUBLIER d'apporter le reste de la ration en croquettes !</v>
      </c>
      <c r="AD105" s="240" t="str">
        <f>AD25</f>
        <v>LOW CARB (peu de féculent)</v>
      </c>
      <c r="AE105" s="21" t="e">
        <f>$AT$105</f>
        <v>#N/A</v>
      </c>
      <c r="AF105" s="21" t="e">
        <f>$AE$51</f>
        <v>#N/A</v>
      </c>
      <c r="AG105" s="21" t="e">
        <f>AF105+AE105</f>
        <v>#N/A</v>
      </c>
      <c r="AH105" s="21" t="e">
        <f>IF($AG105&gt;$AE$47,IF($AG105&gt;$AE$48,$AE$48,$AG105),$AE$47)</f>
        <v>#N/A</v>
      </c>
      <c r="AM105" s="21" t="s">
        <v>1156</v>
      </c>
      <c r="AN105" s="21" t="e">
        <f>IF($AQ$70+$AN$104&lt;$AU$65,$AU$65,$AQ$70+$AN$104)</f>
        <v>#N/A</v>
      </c>
      <c r="AO105" s="21" t="e">
        <f>IF($AN$105&lt;$AU$68,ROUNDDOWN($AN$105/$AU$65,0)*$AU$65,ROUNDDOWN($AN$105/$AU$66,0)*$AU$66)</f>
        <v>#N/A</v>
      </c>
      <c r="AP105" s="21" t="e">
        <f>IF($AO$105&gt;$AQ$69,$AQ$69,$AO$105)</f>
        <v>#N/A</v>
      </c>
      <c r="AS105" s="253" t="s">
        <v>956</v>
      </c>
      <c r="AT105" s="21" t="e">
        <f>IF($AT$99&lt;$AY$78,0,IF($AT$99&lt;$AY$80,$AZ$78,IF($AT$99&lt;$AY$82,$AZ$80,$AZ$82)))</f>
        <v>#N/A</v>
      </c>
      <c r="BY105" s="265" t="s">
        <v>680</v>
      </c>
      <c r="BZ105" s="266">
        <v>0.9</v>
      </c>
    </row>
    <row r="106" spans="23:118" ht="25.2" customHeight="1">
      <c r="W106" s="21" t="s">
        <v>990</v>
      </c>
      <c r="X106" s="240" t="str">
        <f>IF($X$101&lt;1,$X$105,"")</f>
        <v/>
      </c>
      <c r="Y106" s="240"/>
      <c r="Z106" s="240"/>
      <c r="AD106" s="240" t="str">
        <f>AD26</f>
        <v>ECO MALIN (spécial petit budget)</v>
      </c>
      <c r="AE106" s="21" t="e">
        <f>$AE$96</f>
        <v>#N/A</v>
      </c>
      <c r="AF106" s="21" t="e">
        <f>$AE$51</f>
        <v>#N/A</v>
      </c>
      <c r="AG106" s="21" t="e">
        <f>AF106+AE106</f>
        <v>#N/A</v>
      </c>
      <c r="AH106" s="21" t="e">
        <f>IF($AG106&gt;$AE$47,IF($AG106&gt;$AE$48,$AE$48,$AG106),$AE$47)</f>
        <v>#N/A</v>
      </c>
      <c r="BY106" s="265" t="s">
        <v>681</v>
      </c>
      <c r="BZ106" s="266">
        <v>0.9</v>
      </c>
    </row>
    <row r="107" spans="23:118" ht="25.2" customHeight="1">
      <c r="AD107" s="240" t="str">
        <f>AD27</f>
        <v>PRO BARF (sans féculent)</v>
      </c>
      <c r="AE107" s="21" t="e">
        <f>$AT$87</f>
        <v>#N/A</v>
      </c>
      <c r="AF107" s="21" t="e">
        <f>$AE$51</f>
        <v>#N/A</v>
      </c>
      <c r="AG107" s="21" t="e">
        <f>AF107+AE107</f>
        <v>#N/A</v>
      </c>
      <c r="AH107" s="21" t="e">
        <f>IF($AG107&gt;$AE$47,IF($AG107&gt;$AE$48,$AE$48,$AG107),$AE$47)</f>
        <v>#N/A</v>
      </c>
      <c r="BY107" s="265" t="s">
        <v>682</v>
      </c>
      <c r="BZ107" s="266">
        <v>1</v>
      </c>
    </row>
    <row r="108" spans="23:118" ht="25.2" customHeight="1">
      <c r="AD108" s="240" t="str">
        <f>AD28</f>
        <v>MANUELLE (code requis)</v>
      </c>
      <c r="AE108" s="21">
        <v>0</v>
      </c>
      <c r="AF108" s="21" t="e">
        <f>$AE$51</f>
        <v>#N/A</v>
      </c>
      <c r="AG108" s="21" t="e">
        <f>AF108+AE108</f>
        <v>#N/A</v>
      </c>
      <c r="AH108" s="21" t="e">
        <f>IF($AG108&gt;$AE$47,IF($AG108&gt;$AE$48,$AE$48,$AG108),$AE$47)</f>
        <v>#N/A</v>
      </c>
      <c r="BY108" s="265" t="s">
        <v>75</v>
      </c>
      <c r="BZ108" s="266">
        <v>1</v>
      </c>
    </row>
    <row r="109" spans="23:118" ht="25.2" customHeight="1">
      <c r="BY109" s="265" t="s">
        <v>683</v>
      </c>
      <c r="BZ109" s="266">
        <v>1</v>
      </c>
    </row>
    <row r="110" spans="23:118" ht="25.2" customHeight="1">
      <c r="BY110" s="265" t="s">
        <v>684</v>
      </c>
      <c r="BZ110" s="266">
        <v>1</v>
      </c>
    </row>
    <row r="111" spans="23:118" ht="25.2" customHeight="1">
      <c r="BY111" s="265" t="s">
        <v>685</v>
      </c>
      <c r="BZ111" s="266">
        <v>1</v>
      </c>
    </row>
    <row r="112" spans="23:118" ht="25.2" customHeight="1">
      <c r="BY112" s="265" t="s">
        <v>76</v>
      </c>
      <c r="BZ112" s="266">
        <v>1</v>
      </c>
    </row>
    <row r="113" spans="77:78" ht="25.2" customHeight="1">
      <c r="BY113" s="265" t="s">
        <v>686</v>
      </c>
      <c r="BZ113" s="266">
        <v>1</v>
      </c>
    </row>
    <row r="114" spans="77:78" ht="25.2" customHeight="1">
      <c r="BY114" s="265" t="s">
        <v>687</v>
      </c>
      <c r="BZ114" s="266">
        <v>1</v>
      </c>
    </row>
    <row r="115" spans="77:78" ht="25.2" customHeight="1">
      <c r="BY115" s="265" t="s">
        <v>688</v>
      </c>
      <c r="BZ115" s="266">
        <v>0.8</v>
      </c>
    </row>
    <row r="116" spans="77:78" ht="25.2" customHeight="1">
      <c r="BY116" s="265" t="s">
        <v>689</v>
      </c>
      <c r="BZ116" s="266">
        <v>1</v>
      </c>
    </row>
    <row r="117" spans="77:78" ht="25.2" customHeight="1">
      <c r="BY117" s="265" t="s">
        <v>77</v>
      </c>
      <c r="BZ117" s="266">
        <v>1.2</v>
      </c>
    </row>
    <row r="118" spans="77:78" ht="25.2" customHeight="1">
      <c r="BY118" s="265" t="s">
        <v>690</v>
      </c>
      <c r="BZ118" s="266">
        <v>0.8</v>
      </c>
    </row>
    <row r="119" spans="77:78" ht="25.2" customHeight="1">
      <c r="BY119" s="265" t="s">
        <v>691</v>
      </c>
      <c r="BZ119" s="266">
        <v>1</v>
      </c>
    </row>
    <row r="120" spans="77:78" ht="25.2" customHeight="1">
      <c r="BY120" s="265" t="s">
        <v>692</v>
      </c>
      <c r="BZ120" s="266">
        <v>1.2</v>
      </c>
    </row>
    <row r="121" spans="77:78" ht="25.2" customHeight="1">
      <c r="BY121" s="265" t="s">
        <v>693</v>
      </c>
      <c r="BZ121" s="266">
        <v>1</v>
      </c>
    </row>
    <row r="122" spans="77:78" ht="25.2" customHeight="1">
      <c r="BY122" s="265" t="s">
        <v>694</v>
      </c>
      <c r="BZ122" s="266">
        <v>1</v>
      </c>
    </row>
    <row r="123" spans="77:78" ht="25.2" customHeight="1">
      <c r="BY123" s="265" t="s">
        <v>695</v>
      </c>
      <c r="BZ123" s="266">
        <v>1</v>
      </c>
    </row>
    <row r="124" spans="77:78" ht="25.2" customHeight="1">
      <c r="BY124" s="265" t="s">
        <v>78</v>
      </c>
      <c r="BZ124" s="266">
        <v>1</v>
      </c>
    </row>
    <row r="125" spans="77:78" ht="25.2" customHeight="1">
      <c r="BY125" s="265" t="s">
        <v>79</v>
      </c>
      <c r="BZ125" s="266">
        <v>1</v>
      </c>
    </row>
    <row r="126" spans="77:78" ht="25.2" customHeight="1">
      <c r="BY126" s="265" t="s">
        <v>312</v>
      </c>
      <c r="BZ126" s="266">
        <v>1</v>
      </c>
    </row>
    <row r="127" spans="77:78" ht="25.2" customHeight="1">
      <c r="BY127" s="265" t="s">
        <v>311</v>
      </c>
      <c r="BZ127" s="266">
        <v>0.8</v>
      </c>
    </row>
    <row r="128" spans="77:78" ht="25.2" customHeight="1">
      <c r="BY128" s="265" t="s">
        <v>696</v>
      </c>
      <c r="BZ128" s="266">
        <v>1</v>
      </c>
    </row>
    <row r="129" spans="1:130" s="20" customFormat="1" ht="25.2" customHeight="1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13"/>
      <c r="N129" s="13"/>
      <c r="O129" s="13"/>
      <c r="P129" s="13"/>
      <c r="Q129" s="13"/>
      <c r="R129" s="13"/>
      <c r="S129" s="13"/>
      <c r="T129" s="13"/>
      <c r="U129" s="13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8"/>
      <c r="AM129" s="228"/>
      <c r="AN129" s="228"/>
      <c r="AO129" s="228"/>
      <c r="AP129" s="228"/>
      <c r="AQ129" s="228"/>
      <c r="AR129" s="228"/>
      <c r="AS129" s="228"/>
      <c r="AT129" s="228"/>
      <c r="AU129" s="228"/>
      <c r="AV129" s="228"/>
      <c r="AW129" s="228"/>
      <c r="AX129" s="228"/>
      <c r="AY129" s="228"/>
      <c r="AZ129" s="228"/>
      <c r="BA129" s="228"/>
      <c r="BB129" s="228"/>
      <c r="BC129" s="228"/>
      <c r="BD129" s="228"/>
      <c r="BE129" s="228"/>
      <c r="BF129" s="228"/>
      <c r="BG129" s="228"/>
      <c r="BH129" s="228"/>
      <c r="BI129" s="228"/>
      <c r="BJ129" s="228"/>
      <c r="BK129" s="228"/>
      <c r="BL129" s="228"/>
      <c r="BM129" s="228"/>
      <c r="BN129" s="228"/>
      <c r="BO129" s="228"/>
      <c r="BP129" s="228"/>
      <c r="BQ129" s="228"/>
      <c r="BR129" s="228"/>
      <c r="BS129" s="228"/>
      <c r="BT129" s="228"/>
      <c r="BU129" s="228"/>
      <c r="BV129" s="228"/>
      <c r="BW129" s="228"/>
      <c r="BX129" s="228"/>
      <c r="BY129" s="265" t="s">
        <v>1114</v>
      </c>
      <c r="BZ129" s="266">
        <v>1</v>
      </c>
      <c r="CA129" s="262"/>
      <c r="CB129" s="228"/>
      <c r="CC129" s="228"/>
      <c r="CD129" s="228"/>
      <c r="CE129" s="228"/>
      <c r="CF129" s="262"/>
      <c r="CG129" s="228"/>
      <c r="CH129" s="228"/>
      <c r="CI129" s="228"/>
      <c r="CJ129" s="228"/>
      <c r="CK129" s="228"/>
      <c r="CL129" s="228"/>
      <c r="CM129" s="228"/>
      <c r="CN129" s="228"/>
      <c r="CO129" s="228"/>
      <c r="CP129" s="228"/>
      <c r="CQ129" s="228"/>
      <c r="CR129" s="228"/>
      <c r="CS129" s="228"/>
      <c r="CT129" s="228"/>
      <c r="CU129" s="228"/>
      <c r="CV129" s="228"/>
      <c r="CW129" s="228"/>
      <c r="CX129" s="228"/>
      <c r="CY129" s="228"/>
      <c r="CZ129" s="228"/>
      <c r="DA129" s="228"/>
      <c r="DB129" s="228"/>
      <c r="DC129" s="228"/>
      <c r="DD129" s="228"/>
      <c r="DE129" s="228"/>
      <c r="DF129" s="240"/>
      <c r="DG129" s="228"/>
      <c r="DH129" s="21"/>
      <c r="DI129" s="21"/>
      <c r="DJ129" s="21"/>
      <c r="DK129" s="21"/>
      <c r="DL129" s="228"/>
      <c r="DM129" s="228"/>
      <c r="DN129" s="228"/>
      <c r="DO129" s="228"/>
      <c r="DP129" s="228"/>
      <c r="DQ129" s="228"/>
      <c r="DR129" s="228"/>
      <c r="DS129" s="228"/>
      <c r="DT129" s="228"/>
      <c r="DU129" s="228"/>
      <c r="DV129" s="228"/>
      <c r="DW129" s="228"/>
      <c r="DX129" s="228"/>
      <c r="DY129" s="228"/>
      <c r="DZ129" s="228"/>
    </row>
    <row r="130" spans="1:130" ht="25.2" customHeight="1">
      <c r="BY130" s="265" t="s">
        <v>697</v>
      </c>
      <c r="BZ130" s="266">
        <v>1</v>
      </c>
    </row>
    <row r="131" spans="1:130" ht="25.2" customHeight="1">
      <c r="BY131" s="265" t="s">
        <v>698</v>
      </c>
      <c r="BZ131" s="266">
        <v>1</v>
      </c>
    </row>
    <row r="132" spans="1:130" ht="25.2" customHeight="1">
      <c r="BY132" s="265" t="s">
        <v>699</v>
      </c>
      <c r="BZ132" s="266">
        <v>0.9</v>
      </c>
    </row>
    <row r="133" spans="1:130" ht="25.2" customHeight="1">
      <c r="BY133" s="265" t="s">
        <v>700</v>
      </c>
      <c r="BZ133" s="266">
        <v>0.8</v>
      </c>
    </row>
    <row r="134" spans="1:130" ht="25.2" customHeight="1">
      <c r="BY134" s="265" t="s">
        <v>701</v>
      </c>
      <c r="BZ134" s="266">
        <v>1</v>
      </c>
    </row>
    <row r="135" spans="1:130" ht="25.2" customHeight="1">
      <c r="BY135" s="265" t="s">
        <v>80</v>
      </c>
      <c r="BZ135" s="266">
        <v>0.8</v>
      </c>
    </row>
    <row r="136" spans="1:130" ht="25.2" customHeight="1">
      <c r="BY136" s="265" t="s">
        <v>81</v>
      </c>
      <c r="BZ136" s="266">
        <v>0.8</v>
      </c>
    </row>
    <row r="137" spans="1:130" ht="25.2" customHeight="1">
      <c r="BY137" s="265" t="s">
        <v>82</v>
      </c>
      <c r="BZ137" s="266">
        <v>0.8</v>
      </c>
    </row>
    <row r="138" spans="1:130" ht="25.2" customHeight="1">
      <c r="BY138" s="265" t="s">
        <v>702</v>
      </c>
      <c r="BZ138" s="266">
        <v>0.9</v>
      </c>
    </row>
    <row r="139" spans="1:130" ht="25.2" customHeight="1">
      <c r="BY139" s="265" t="s">
        <v>83</v>
      </c>
      <c r="BZ139" s="266">
        <v>0.9</v>
      </c>
    </row>
    <row r="140" spans="1:130" ht="25.2" customHeight="1">
      <c r="BY140" s="265" t="s">
        <v>84</v>
      </c>
      <c r="BZ140" s="266">
        <v>1.2</v>
      </c>
    </row>
    <row r="141" spans="1:130" ht="25.2" customHeight="1">
      <c r="BY141" s="265" t="s">
        <v>703</v>
      </c>
      <c r="BZ141" s="266">
        <v>1.2</v>
      </c>
    </row>
    <row r="142" spans="1:130" ht="25.2" customHeight="1">
      <c r="BY142" s="265" t="s">
        <v>704</v>
      </c>
      <c r="BZ142" s="266">
        <v>1.2</v>
      </c>
    </row>
    <row r="143" spans="1:130" ht="25.2" customHeight="1">
      <c r="BY143" s="265" t="s">
        <v>705</v>
      </c>
      <c r="BZ143" s="266">
        <v>1.2</v>
      </c>
    </row>
    <row r="144" spans="1:130" ht="25.2" customHeight="1">
      <c r="BY144" s="265" t="s">
        <v>85</v>
      </c>
      <c r="BZ144" s="266">
        <v>1.2</v>
      </c>
    </row>
    <row r="145" spans="77:78" ht="25.2" customHeight="1">
      <c r="BY145" s="265" t="s">
        <v>706</v>
      </c>
      <c r="BZ145" s="266">
        <v>1.2</v>
      </c>
    </row>
    <row r="146" spans="77:78" ht="25.2" customHeight="1">
      <c r="BY146" s="265" t="s">
        <v>86</v>
      </c>
      <c r="BZ146" s="266">
        <v>1</v>
      </c>
    </row>
    <row r="147" spans="77:78" ht="25.2" customHeight="1">
      <c r="BY147" s="265" t="s">
        <v>87</v>
      </c>
      <c r="BZ147" s="266">
        <v>0.8</v>
      </c>
    </row>
    <row r="148" spans="77:78" ht="25.2" customHeight="1">
      <c r="BY148" s="265" t="s">
        <v>707</v>
      </c>
      <c r="BZ148" s="266">
        <v>1</v>
      </c>
    </row>
    <row r="149" spans="77:78" ht="25.2" customHeight="1">
      <c r="BY149" s="265" t="s">
        <v>88</v>
      </c>
      <c r="BZ149" s="266">
        <v>0.9</v>
      </c>
    </row>
    <row r="150" spans="77:78" ht="25.2" customHeight="1">
      <c r="BY150" s="265" t="s">
        <v>708</v>
      </c>
      <c r="BZ150" s="266">
        <v>0.9</v>
      </c>
    </row>
    <row r="151" spans="77:78" ht="25.2" customHeight="1">
      <c r="BY151" s="265" t="s">
        <v>709</v>
      </c>
      <c r="BZ151" s="266">
        <v>0.9</v>
      </c>
    </row>
    <row r="152" spans="77:78" ht="25.2" customHeight="1">
      <c r="BY152" s="265" t="s">
        <v>89</v>
      </c>
      <c r="BZ152" s="266">
        <v>0.9</v>
      </c>
    </row>
    <row r="153" spans="77:78" ht="25.2" customHeight="1">
      <c r="BY153" s="265" t="s">
        <v>710</v>
      </c>
      <c r="BZ153" s="266">
        <v>1</v>
      </c>
    </row>
    <row r="154" spans="77:78" ht="25.2" customHeight="1">
      <c r="BY154" s="265" t="s">
        <v>711</v>
      </c>
      <c r="BZ154" s="266">
        <v>1</v>
      </c>
    </row>
    <row r="155" spans="77:78" ht="25.2" customHeight="1">
      <c r="BY155" s="265" t="s">
        <v>712</v>
      </c>
      <c r="BZ155" s="266">
        <v>1</v>
      </c>
    </row>
    <row r="156" spans="77:78" ht="25.2" customHeight="1">
      <c r="BY156" s="265" t="s">
        <v>713</v>
      </c>
      <c r="BZ156" s="266">
        <v>1</v>
      </c>
    </row>
    <row r="157" spans="77:78" ht="25.2" customHeight="1">
      <c r="BY157" s="265" t="s">
        <v>90</v>
      </c>
      <c r="BZ157" s="266">
        <v>1.2</v>
      </c>
    </row>
    <row r="158" spans="77:78" ht="25.2" customHeight="1">
      <c r="BY158" s="265" t="s">
        <v>714</v>
      </c>
      <c r="BZ158" s="266">
        <v>1</v>
      </c>
    </row>
    <row r="159" spans="77:78" ht="25.2" customHeight="1">
      <c r="BY159" s="265" t="s">
        <v>715</v>
      </c>
      <c r="BZ159" s="266">
        <v>1</v>
      </c>
    </row>
    <row r="160" spans="77:78" ht="25.2" customHeight="1">
      <c r="BY160" s="265" t="s">
        <v>716</v>
      </c>
      <c r="BZ160" s="266">
        <v>1</v>
      </c>
    </row>
    <row r="161" spans="77:81" ht="25.2" customHeight="1">
      <c r="BY161" s="265" t="s">
        <v>717</v>
      </c>
      <c r="BZ161" s="266">
        <v>1</v>
      </c>
    </row>
    <row r="162" spans="77:81" ht="25.2" customHeight="1">
      <c r="BY162" s="265" t="s">
        <v>718</v>
      </c>
      <c r="BZ162" s="266">
        <v>1</v>
      </c>
      <c r="CC162" s="298"/>
    </row>
    <row r="163" spans="77:81" ht="25.2" customHeight="1">
      <c r="BY163" s="265" t="s">
        <v>719</v>
      </c>
      <c r="BZ163" s="266">
        <v>1</v>
      </c>
    </row>
    <row r="164" spans="77:81" ht="25.2" customHeight="1">
      <c r="BY164" s="265" t="s">
        <v>91</v>
      </c>
      <c r="BZ164" s="266">
        <v>0.9</v>
      </c>
    </row>
    <row r="165" spans="77:81" ht="25.2" customHeight="1">
      <c r="BY165" s="265" t="s">
        <v>1059</v>
      </c>
      <c r="BZ165" s="266">
        <v>1</v>
      </c>
    </row>
    <row r="166" spans="77:81" ht="25.2" customHeight="1">
      <c r="BY166" s="265" t="s">
        <v>92</v>
      </c>
      <c r="BZ166" s="266">
        <v>0.9</v>
      </c>
    </row>
    <row r="167" spans="77:81" ht="25.2" customHeight="1">
      <c r="BY167" s="265" t="s">
        <v>720</v>
      </c>
      <c r="BZ167" s="266">
        <v>0.9</v>
      </c>
    </row>
    <row r="168" spans="77:81" ht="25.2" customHeight="1">
      <c r="BY168" s="265" t="s">
        <v>93</v>
      </c>
      <c r="BZ168" s="266">
        <v>1.2</v>
      </c>
    </row>
    <row r="169" spans="77:81" ht="25.2" customHeight="1">
      <c r="BY169" s="265" t="s">
        <v>94</v>
      </c>
      <c r="BZ169" s="266">
        <v>0.8</v>
      </c>
    </row>
    <row r="170" spans="77:81" ht="25.2" customHeight="1">
      <c r="BY170" s="265" t="s">
        <v>721</v>
      </c>
      <c r="BZ170" s="266">
        <v>0.9</v>
      </c>
    </row>
    <row r="171" spans="77:81" ht="25.2" customHeight="1">
      <c r="BY171" s="265" t="s">
        <v>722</v>
      </c>
      <c r="BZ171" s="266">
        <v>1</v>
      </c>
    </row>
    <row r="172" spans="77:81" ht="25.2" customHeight="1">
      <c r="BY172" s="265" t="s">
        <v>723</v>
      </c>
      <c r="BZ172" s="266">
        <v>1</v>
      </c>
    </row>
    <row r="173" spans="77:81" ht="25.2" customHeight="1">
      <c r="BY173" s="265" t="s">
        <v>724</v>
      </c>
      <c r="BZ173" s="266">
        <v>1</v>
      </c>
    </row>
    <row r="174" spans="77:81" ht="25.2" customHeight="1">
      <c r="BY174" s="265" t="s">
        <v>95</v>
      </c>
      <c r="BZ174" s="266">
        <v>1</v>
      </c>
    </row>
    <row r="175" spans="77:81" ht="25.2" customHeight="1">
      <c r="BY175" s="265" t="s">
        <v>725</v>
      </c>
      <c r="BZ175" s="266">
        <v>1</v>
      </c>
    </row>
    <row r="176" spans="77:81" ht="25.2" customHeight="1">
      <c r="BY176" s="265" t="s">
        <v>96</v>
      </c>
      <c r="BZ176" s="266">
        <v>1</v>
      </c>
    </row>
    <row r="177" spans="1:130" ht="25.2" customHeight="1">
      <c r="BY177" s="265" t="s">
        <v>726</v>
      </c>
      <c r="BZ177" s="266">
        <v>1</v>
      </c>
    </row>
    <row r="178" spans="1:130" ht="25.2" customHeight="1">
      <c r="BY178" s="265" t="s">
        <v>727</v>
      </c>
      <c r="BZ178" s="266">
        <v>1</v>
      </c>
    </row>
    <row r="179" spans="1:130" s="20" customFormat="1" ht="25.2" customHeight="1">
      <c r="A179" s="5"/>
      <c r="B179" s="6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13"/>
      <c r="N179" s="13"/>
      <c r="O179" s="13"/>
      <c r="P179" s="13"/>
      <c r="Q179" s="13"/>
      <c r="R179" s="13"/>
      <c r="S179" s="13"/>
      <c r="T179" s="13"/>
      <c r="U179" s="13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  <c r="AK179" s="228"/>
      <c r="AL179" s="228"/>
      <c r="AM179" s="228"/>
      <c r="AN179" s="228"/>
      <c r="AO179" s="228"/>
      <c r="AP179" s="228"/>
      <c r="AQ179" s="228"/>
      <c r="AR179" s="228"/>
      <c r="AS179" s="228"/>
      <c r="AT179" s="228"/>
      <c r="AU179" s="228"/>
      <c r="AV179" s="228"/>
      <c r="AW179" s="228"/>
      <c r="AX179" s="228"/>
      <c r="AY179" s="228"/>
      <c r="AZ179" s="228"/>
      <c r="BA179" s="228"/>
      <c r="BB179" s="228"/>
      <c r="BC179" s="228"/>
      <c r="BD179" s="228"/>
      <c r="BE179" s="228"/>
      <c r="BF179" s="228"/>
      <c r="BG179" s="228"/>
      <c r="BH179" s="228"/>
      <c r="BI179" s="228"/>
      <c r="BJ179" s="228"/>
      <c r="BK179" s="228"/>
      <c r="BL179" s="228"/>
      <c r="BM179" s="228"/>
      <c r="BN179" s="228"/>
      <c r="BO179" s="228"/>
      <c r="BP179" s="228"/>
      <c r="BQ179" s="228"/>
      <c r="BR179" s="228"/>
      <c r="BS179" s="228"/>
      <c r="BT179" s="228"/>
      <c r="BU179" s="228"/>
      <c r="BV179" s="228"/>
      <c r="BW179" s="228"/>
      <c r="BX179" s="228"/>
      <c r="BY179" s="265" t="s">
        <v>777</v>
      </c>
      <c r="BZ179" s="266">
        <v>1</v>
      </c>
      <c r="CA179" s="262"/>
      <c r="CB179" s="228"/>
      <c r="CC179" s="228"/>
      <c r="CD179" s="228"/>
      <c r="CE179" s="228"/>
      <c r="CF179" s="262"/>
      <c r="CG179" s="228"/>
      <c r="CH179" s="228"/>
      <c r="CI179" s="228"/>
      <c r="CJ179" s="228"/>
      <c r="CK179" s="228"/>
      <c r="CL179" s="228"/>
      <c r="CM179" s="228"/>
      <c r="CN179" s="228"/>
      <c r="CO179" s="228"/>
      <c r="CP179" s="228"/>
      <c r="CQ179" s="228"/>
      <c r="CR179" s="228"/>
      <c r="CS179" s="228"/>
      <c r="CT179" s="228"/>
      <c r="CU179" s="228"/>
      <c r="CV179" s="228"/>
      <c r="CW179" s="228"/>
      <c r="CX179" s="228"/>
      <c r="CY179" s="228"/>
      <c r="CZ179" s="228"/>
      <c r="DA179" s="228"/>
      <c r="DB179" s="228"/>
      <c r="DC179" s="228"/>
      <c r="DD179" s="228"/>
      <c r="DE179" s="228"/>
      <c r="DF179" s="240"/>
      <c r="DG179" s="228"/>
      <c r="DH179" s="21"/>
      <c r="DI179" s="21"/>
      <c r="DJ179" s="21"/>
      <c r="DK179" s="21"/>
      <c r="DL179" s="228"/>
      <c r="DM179" s="228"/>
      <c r="DN179" s="228"/>
      <c r="DO179" s="228"/>
      <c r="DP179" s="228"/>
      <c r="DQ179" s="228"/>
      <c r="DR179" s="228"/>
      <c r="DS179" s="228"/>
      <c r="DT179" s="228"/>
      <c r="DU179" s="228"/>
      <c r="DV179" s="228"/>
      <c r="DW179" s="228"/>
      <c r="DX179" s="228"/>
      <c r="DY179" s="228"/>
      <c r="DZ179" s="228"/>
    </row>
    <row r="180" spans="1:130" ht="25.2" customHeight="1">
      <c r="BY180" s="265" t="s">
        <v>1061</v>
      </c>
      <c r="BZ180" s="266">
        <v>1</v>
      </c>
    </row>
    <row r="181" spans="1:130" ht="25.2" customHeight="1">
      <c r="BY181" s="265" t="s">
        <v>97</v>
      </c>
      <c r="BZ181" s="266">
        <v>1.2</v>
      </c>
    </row>
    <row r="182" spans="1:130" ht="25.2" customHeight="1">
      <c r="BY182" s="265" t="s">
        <v>98</v>
      </c>
      <c r="BZ182" s="266">
        <v>1</v>
      </c>
    </row>
    <row r="183" spans="1:130" ht="25.2" customHeight="1">
      <c r="BY183" s="265" t="s">
        <v>728</v>
      </c>
      <c r="BZ183" s="266">
        <v>1</v>
      </c>
    </row>
    <row r="184" spans="1:130" ht="25.2" customHeight="1">
      <c r="BY184" s="265" t="s">
        <v>729</v>
      </c>
      <c r="BZ184" s="266">
        <v>1</v>
      </c>
    </row>
    <row r="185" spans="1:130" ht="25.2" customHeight="1">
      <c r="BY185" s="265" t="s">
        <v>99</v>
      </c>
      <c r="BZ185" s="266">
        <v>1</v>
      </c>
    </row>
    <row r="186" spans="1:130" ht="25.2" customHeight="1">
      <c r="BY186" s="265" t="s">
        <v>100</v>
      </c>
      <c r="BZ186" s="266">
        <v>1</v>
      </c>
    </row>
    <row r="187" spans="1:130" ht="25.2" customHeight="1">
      <c r="BY187" s="265" t="s">
        <v>101</v>
      </c>
      <c r="BZ187" s="266">
        <v>1</v>
      </c>
    </row>
    <row r="188" spans="1:130" ht="25.2" customHeight="1">
      <c r="BY188" s="265" t="s">
        <v>102</v>
      </c>
      <c r="BZ188" s="266">
        <v>1</v>
      </c>
    </row>
    <row r="189" spans="1:130" ht="25.2" customHeight="1">
      <c r="BY189" s="265" t="s">
        <v>730</v>
      </c>
      <c r="BZ189" s="266">
        <v>1</v>
      </c>
    </row>
    <row r="190" spans="1:130" ht="25.2" customHeight="1">
      <c r="BY190" s="265" t="s">
        <v>731</v>
      </c>
      <c r="BZ190" s="266">
        <v>1</v>
      </c>
    </row>
    <row r="191" spans="1:130" ht="25.2" customHeight="1">
      <c r="BY191" s="265" t="s">
        <v>732</v>
      </c>
      <c r="BZ191" s="266">
        <v>1</v>
      </c>
    </row>
    <row r="192" spans="1:130" ht="25.2" customHeight="1">
      <c r="BY192" s="265" t="s">
        <v>103</v>
      </c>
      <c r="BZ192" s="266">
        <v>1</v>
      </c>
    </row>
    <row r="193" spans="1:130" ht="25.2" customHeight="1">
      <c r="BY193" s="265" t="s">
        <v>104</v>
      </c>
      <c r="BZ193" s="266">
        <v>1</v>
      </c>
    </row>
    <row r="194" spans="1:130" ht="25.2" customHeight="1">
      <c r="BY194" s="265" t="s">
        <v>105</v>
      </c>
      <c r="BZ194" s="266">
        <v>0.9</v>
      </c>
    </row>
    <row r="195" spans="1:130" ht="25.2" customHeight="1">
      <c r="BY195" s="265" t="s">
        <v>733</v>
      </c>
      <c r="BZ195" s="266">
        <v>1</v>
      </c>
    </row>
    <row r="196" spans="1:130" ht="25.2" customHeight="1">
      <c r="BY196" s="265" t="s">
        <v>106</v>
      </c>
      <c r="BZ196" s="266">
        <v>1</v>
      </c>
    </row>
    <row r="197" spans="1:130" s="20" customFormat="1" ht="25.2" customHeight="1">
      <c r="A197" s="5"/>
      <c r="B197" s="6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13"/>
      <c r="N197" s="13"/>
      <c r="O197" s="13"/>
      <c r="P197" s="13"/>
      <c r="Q197" s="13"/>
      <c r="R197" s="13"/>
      <c r="S197" s="13"/>
      <c r="T197" s="13"/>
      <c r="U197" s="13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28"/>
      <c r="AO197" s="228"/>
      <c r="AP197" s="228"/>
      <c r="AQ197" s="228"/>
      <c r="AR197" s="228"/>
      <c r="AS197" s="228"/>
      <c r="AT197" s="228"/>
      <c r="AU197" s="228"/>
      <c r="AV197" s="228"/>
      <c r="AW197" s="228"/>
      <c r="AX197" s="228"/>
      <c r="AY197" s="228"/>
      <c r="AZ197" s="228"/>
      <c r="BA197" s="228"/>
      <c r="BB197" s="228"/>
      <c r="BC197" s="228"/>
      <c r="BD197" s="228"/>
      <c r="BE197" s="228"/>
      <c r="BF197" s="228"/>
      <c r="BG197" s="228"/>
      <c r="BH197" s="228"/>
      <c r="BI197" s="228"/>
      <c r="BJ197" s="228"/>
      <c r="BK197" s="228"/>
      <c r="BL197" s="228"/>
      <c r="BM197" s="228"/>
      <c r="BN197" s="228"/>
      <c r="BO197" s="228"/>
      <c r="BP197" s="228"/>
      <c r="BQ197" s="228"/>
      <c r="BR197" s="228"/>
      <c r="BS197" s="228"/>
      <c r="BT197" s="228"/>
      <c r="BU197" s="228"/>
      <c r="BV197" s="228"/>
      <c r="BW197" s="228"/>
      <c r="BX197" s="228"/>
      <c r="BY197" s="265" t="s">
        <v>734</v>
      </c>
      <c r="BZ197" s="266">
        <v>1</v>
      </c>
      <c r="CA197" s="262"/>
      <c r="CB197" s="228"/>
      <c r="CC197" s="228"/>
      <c r="CD197" s="228"/>
      <c r="CE197" s="228"/>
      <c r="CF197" s="262"/>
      <c r="CG197" s="228"/>
      <c r="CH197" s="228"/>
      <c r="CI197" s="228"/>
      <c r="CJ197" s="228"/>
      <c r="CK197" s="228"/>
      <c r="CL197" s="228"/>
      <c r="CM197" s="228"/>
      <c r="CN197" s="228"/>
      <c r="CO197" s="228"/>
      <c r="CP197" s="228"/>
      <c r="CQ197" s="228"/>
      <c r="CR197" s="228"/>
      <c r="CS197" s="228"/>
      <c r="CT197" s="228"/>
      <c r="CU197" s="228"/>
      <c r="CV197" s="228"/>
      <c r="CW197" s="228"/>
      <c r="CX197" s="228"/>
      <c r="CY197" s="228"/>
      <c r="CZ197" s="228"/>
      <c r="DA197" s="228"/>
      <c r="DB197" s="228"/>
      <c r="DC197" s="228"/>
      <c r="DD197" s="228"/>
      <c r="DE197" s="228"/>
      <c r="DF197" s="240"/>
      <c r="DG197" s="228"/>
      <c r="DH197" s="21"/>
      <c r="DI197" s="21"/>
      <c r="DJ197" s="21"/>
      <c r="DK197" s="21"/>
      <c r="DL197" s="228"/>
      <c r="DM197" s="228"/>
      <c r="DN197" s="228"/>
      <c r="DO197" s="228"/>
      <c r="DP197" s="228"/>
      <c r="DQ197" s="228"/>
      <c r="DR197" s="228"/>
      <c r="DS197" s="228"/>
      <c r="DT197" s="228"/>
      <c r="DU197" s="228"/>
      <c r="DV197" s="228"/>
      <c r="DW197" s="228"/>
      <c r="DX197" s="228"/>
      <c r="DY197" s="228"/>
      <c r="DZ197" s="228"/>
    </row>
    <row r="198" spans="1:130" ht="25.2" customHeight="1">
      <c r="BY198" s="265" t="s">
        <v>1060</v>
      </c>
      <c r="BZ198" s="266">
        <v>1</v>
      </c>
    </row>
    <row r="199" spans="1:130" ht="25.2" customHeight="1">
      <c r="BY199" s="265" t="s">
        <v>136</v>
      </c>
      <c r="BZ199" s="266">
        <v>0.9</v>
      </c>
      <c r="DK199" s="228"/>
    </row>
    <row r="200" spans="1:130" ht="25.2" customHeight="1">
      <c r="BY200" s="265" t="s">
        <v>735</v>
      </c>
      <c r="BZ200" s="266">
        <v>1</v>
      </c>
      <c r="DK200" s="228"/>
    </row>
    <row r="201" spans="1:130" ht="25.2" customHeight="1">
      <c r="BY201" s="265" t="s">
        <v>736</v>
      </c>
      <c r="BZ201" s="266">
        <v>1</v>
      </c>
      <c r="DK201" s="228"/>
    </row>
    <row r="202" spans="1:130" ht="25.2" customHeight="1">
      <c r="BY202" s="265" t="s">
        <v>737</v>
      </c>
      <c r="BZ202" s="266">
        <v>1.2</v>
      </c>
    </row>
    <row r="203" spans="1:130" ht="25.2" customHeight="1">
      <c r="BY203" s="265" t="s">
        <v>131</v>
      </c>
      <c r="BZ203" s="266">
        <v>1</v>
      </c>
    </row>
    <row r="204" spans="1:130" ht="25.2" customHeight="1">
      <c r="BY204" s="265" t="s">
        <v>107</v>
      </c>
      <c r="BZ204" s="266">
        <v>1</v>
      </c>
    </row>
    <row r="206" spans="1:130">
      <c r="BY206" s="299"/>
    </row>
  </sheetData>
  <sheetProtection algorithmName="SHA-512" hashValue="RG3oNt46A+gHL0Qvv0/trdSeSaIpzSALSJZx9NTUcs+MqdfqBT20exBf/X157lpAOWKj01CdFPxYsy/joIvfbQ==" saltValue="owfEHpFokx2cv8B1GA+iow==" spinCount="100000" sheet="1" objects="1" scenarios="1" selectLockedCells="1"/>
  <mergeCells count="337">
    <mergeCell ref="BK3:BM3"/>
    <mergeCell ref="W95:Z97"/>
    <mergeCell ref="BU22:BV22"/>
    <mergeCell ref="B1:H1"/>
    <mergeCell ref="X4:Y4"/>
    <mergeCell ref="AM4:AS4"/>
    <mergeCell ref="X5:X9"/>
    <mergeCell ref="F7:G7"/>
    <mergeCell ref="AE10:AH10"/>
    <mergeCell ref="B10:D14"/>
    <mergeCell ref="I8:J8"/>
    <mergeCell ref="DL2:DL101"/>
    <mergeCell ref="AE3:AH3"/>
    <mergeCell ref="AM3:AS3"/>
    <mergeCell ref="BB3:BI3"/>
    <mergeCell ref="BY3:BZ3"/>
    <mergeCell ref="AZ47:BC47"/>
    <mergeCell ref="BD47:BE47"/>
    <mergeCell ref="BF47:BG47"/>
    <mergeCell ref="BY2:CP2"/>
    <mergeCell ref="CG46:CH46"/>
    <mergeCell ref="AM8:AS8"/>
    <mergeCell ref="I15:J15"/>
    <mergeCell ref="I13:J13"/>
    <mergeCell ref="I14:J14"/>
    <mergeCell ref="AM6:AS6"/>
    <mergeCell ref="AM9:AS9"/>
    <mergeCell ref="I9:J9"/>
    <mergeCell ref="AJ15:AK15"/>
    <mergeCell ref="AE15:AH15"/>
    <mergeCell ref="BQ10:BT10"/>
    <mergeCell ref="CG3:CH3"/>
    <mergeCell ref="BU15:BV15"/>
    <mergeCell ref="CQ2:CY2"/>
    <mergeCell ref="I11:J11"/>
    <mergeCell ref="AY10:BP10"/>
    <mergeCell ref="CB3:CC3"/>
    <mergeCell ref="CK3:CN3"/>
    <mergeCell ref="I7:J7"/>
    <mergeCell ref="AM7:AS7"/>
    <mergeCell ref="AW3:AY3"/>
    <mergeCell ref="B7:C7"/>
    <mergeCell ref="B9:D9"/>
    <mergeCell ref="B8:D8"/>
    <mergeCell ref="AM5:AS5"/>
    <mergeCell ref="B2:L5"/>
    <mergeCell ref="W2:W16"/>
    <mergeCell ref="X10:X13"/>
    <mergeCell ref="AM12:AS12"/>
    <mergeCell ref="I12:J12"/>
    <mergeCell ref="C20:D20"/>
    <mergeCell ref="AN19:AP19"/>
    <mergeCell ref="AJ20:AK20"/>
    <mergeCell ref="Y20:Y21"/>
    <mergeCell ref="AR19:AT19"/>
    <mergeCell ref="F18:H23"/>
    <mergeCell ref="C22:D22"/>
    <mergeCell ref="C21:D21"/>
    <mergeCell ref="F17:G17"/>
    <mergeCell ref="B16:D18"/>
    <mergeCell ref="BC16:BE16"/>
    <mergeCell ref="C24:D24"/>
    <mergeCell ref="AE21:AF21"/>
    <mergeCell ref="C19:D19"/>
    <mergeCell ref="W19:X19"/>
    <mergeCell ref="AJ24:AJ28"/>
    <mergeCell ref="Z24:AA24"/>
    <mergeCell ref="AE19:AF19"/>
    <mergeCell ref="CB27:CC27"/>
    <mergeCell ref="BG20:BH20"/>
    <mergeCell ref="BG21:BH21"/>
    <mergeCell ref="BK22:BL22"/>
    <mergeCell ref="BI22:BJ22"/>
    <mergeCell ref="CB18:CC18"/>
    <mergeCell ref="BM22:BN22"/>
    <mergeCell ref="BO22:BQ22"/>
    <mergeCell ref="BK20:BL20"/>
    <mergeCell ref="BF22:BH22"/>
    <mergeCell ref="BD27:BE27"/>
    <mergeCell ref="BF26:BG26"/>
    <mergeCell ref="AG21:AH21"/>
    <mergeCell ref="C25:D25"/>
    <mergeCell ref="AW22:BE22"/>
    <mergeCell ref="BD26:BE26"/>
    <mergeCell ref="C23:D23"/>
    <mergeCell ref="Z23:AA23"/>
    <mergeCell ref="W33:X33"/>
    <mergeCell ref="AZ27:BC27"/>
    <mergeCell ref="AA31:AA34"/>
    <mergeCell ref="W22:X22"/>
    <mergeCell ref="AD22:AL22"/>
    <mergeCell ref="AL34:AM34"/>
    <mergeCell ref="Z26:AA26"/>
    <mergeCell ref="W35:X35"/>
    <mergeCell ref="W36:X36"/>
    <mergeCell ref="W40:X42"/>
    <mergeCell ref="AJ41:AK41"/>
    <mergeCell ref="BF27:BG27"/>
    <mergeCell ref="W30:AA30"/>
    <mergeCell ref="AD30:AS30"/>
    <mergeCell ref="AI24:AI28"/>
    <mergeCell ref="W32:X32"/>
    <mergeCell ref="W34:X34"/>
    <mergeCell ref="BP38:BU39"/>
    <mergeCell ref="AZ39:BC39"/>
    <mergeCell ref="BF41:BG41"/>
    <mergeCell ref="G29:L29"/>
    <mergeCell ref="AK24:AK28"/>
    <mergeCell ref="K40:L40"/>
    <mergeCell ref="Z38:AA38"/>
    <mergeCell ref="AZ26:BC26"/>
    <mergeCell ref="BD39:BE39"/>
    <mergeCell ref="BI40:BJ40"/>
    <mergeCell ref="BF36:BH40"/>
    <mergeCell ref="AI40:AI41"/>
    <mergeCell ref="AJ40:AK40"/>
    <mergeCell ref="AZ40:BC40"/>
    <mergeCell ref="AL40:AM40"/>
    <mergeCell ref="BD46:BE46"/>
    <mergeCell ref="BF46:BG46"/>
    <mergeCell ref="AZ38:BC38"/>
    <mergeCell ref="AZ42:BC42"/>
    <mergeCell ref="BD42:BE42"/>
    <mergeCell ref="BD38:BE38"/>
    <mergeCell ref="BD45:BE45"/>
    <mergeCell ref="CB39:CC39"/>
    <mergeCell ref="CG39:CH39"/>
    <mergeCell ref="AI43:AJ43"/>
    <mergeCell ref="AZ43:BC43"/>
    <mergeCell ref="BD43:BE43"/>
    <mergeCell ref="BF43:BG43"/>
    <mergeCell ref="BQ43:BU43"/>
    <mergeCell ref="BD40:BE40"/>
    <mergeCell ref="AL41:AM41"/>
    <mergeCell ref="BP41:BU41"/>
    <mergeCell ref="AZ45:BC45"/>
    <mergeCell ref="BQ42:BU42"/>
    <mergeCell ref="AZ41:BC41"/>
    <mergeCell ref="BD41:BE41"/>
    <mergeCell ref="AM45:AR45"/>
    <mergeCell ref="AS45:AT45"/>
    <mergeCell ref="BF42:BG42"/>
    <mergeCell ref="BQ46:BU46"/>
    <mergeCell ref="BQ44:BU44"/>
    <mergeCell ref="BF45:BG45"/>
    <mergeCell ref="BH46:BI46"/>
    <mergeCell ref="BJ46:BK46"/>
    <mergeCell ref="BQ45:BU45"/>
    <mergeCell ref="BD48:BE48"/>
    <mergeCell ref="BF48:BG48"/>
    <mergeCell ref="BH48:BI48"/>
    <mergeCell ref="BD53:BE53"/>
    <mergeCell ref="BF51:BG51"/>
    <mergeCell ref="BD51:BE51"/>
    <mergeCell ref="BD49:BE49"/>
    <mergeCell ref="BF49:BG49"/>
    <mergeCell ref="BH49:BI49"/>
    <mergeCell ref="BD50:BE50"/>
    <mergeCell ref="W44:X44"/>
    <mergeCell ref="AI44:AJ44"/>
    <mergeCell ref="AZ44:BC44"/>
    <mergeCell ref="BD44:BE44"/>
    <mergeCell ref="BF44:BG44"/>
    <mergeCell ref="AZ46:BC46"/>
    <mergeCell ref="AD46:AE46"/>
    <mergeCell ref="BH50:BI50"/>
    <mergeCell ref="BD52:BE52"/>
    <mergeCell ref="BF50:BG50"/>
    <mergeCell ref="BE68:BG68"/>
    <mergeCell ref="AQ54:AR54"/>
    <mergeCell ref="BF55:BG55"/>
    <mergeCell ref="BF57:BG57"/>
    <mergeCell ref="BD58:BE58"/>
    <mergeCell ref="AS67:AT67"/>
    <mergeCell ref="BD56:BE56"/>
    <mergeCell ref="BD54:BE54"/>
    <mergeCell ref="BD55:BE55"/>
    <mergeCell ref="BD57:BE57"/>
    <mergeCell ref="AO65:AP65"/>
    <mergeCell ref="AO66:AP66"/>
    <mergeCell ref="BE67:BG67"/>
    <mergeCell ref="AS65:AS66"/>
    <mergeCell ref="BF58:BG58"/>
    <mergeCell ref="AE61:AH61"/>
    <mergeCell ref="AD64:AJ64"/>
    <mergeCell ref="AE62:AH62"/>
    <mergeCell ref="AF58:AH58"/>
    <mergeCell ref="AO67:AP67"/>
    <mergeCell ref="BH57:BI57"/>
    <mergeCell ref="AE57:AI57"/>
    <mergeCell ref="BJ58:BK58"/>
    <mergeCell ref="AO70:AP70"/>
    <mergeCell ref="AO68:AP68"/>
    <mergeCell ref="AD73:AK73"/>
    <mergeCell ref="AM70:AN70"/>
    <mergeCell ref="AD66:AE66"/>
    <mergeCell ref="AG66:AJ66"/>
    <mergeCell ref="AG67:AH67"/>
    <mergeCell ref="AM67:AN67"/>
    <mergeCell ref="AI67:AJ67"/>
    <mergeCell ref="BQ75:BU75"/>
    <mergeCell ref="BQ76:BU76"/>
    <mergeCell ref="BQ60:BU60"/>
    <mergeCell ref="BP65:BU65"/>
    <mergeCell ref="BP73:BU73"/>
    <mergeCell ref="BE74:BG74"/>
    <mergeCell ref="BE76:BG76"/>
    <mergeCell ref="BE75:BG75"/>
    <mergeCell ref="AX65:BK65"/>
    <mergeCell ref="BQ74:BU74"/>
    <mergeCell ref="BE85:BG85"/>
    <mergeCell ref="AZ82:AZ83"/>
    <mergeCell ref="BE82:BG82"/>
    <mergeCell ref="BE83:BG83"/>
    <mergeCell ref="BE84:BG84"/>
    <mergeCell ref="BE78:BG78"/>
    <mergeCell ref="BE80:BG80"/>
    <mergeCell ref="BE79:BG79"/>
    <mergeCell ref="AZ80:AZ81"/>
    <mergeCell ref="AX82:AX83"/>
    <mergeCell ref="Z72:AA72"/>
    <mergeCell ref="Z71:AA71"/>
    <mergeCell ref="W72:X72"/>
    <mergeCell ref="W73:X73"/>
    <mergeCell ref="W71:X71"/>
    <mergeCell ref="Y73:AA73"/>
    <mergeCell ref="AX80:AX81"/>
    <mergeCell ref="AX76:AZ77"/>
    <mergeCell ref="AZ78:AZ79"/>
    <mergeCell ref="BQ77:BU77"/>
    <mergeCell ref="BQ78:BU78"/>
    <mergeCell ref="W70:X70"/>
    <mergeCell ref="Z70:AA70"/>
    <mergeCell ref="AD70:AE70"/>
    <mergeCell ref="AG70:AH70"/>
    <mergeCell ref="AM74:AT74"/>
    <mergeCell ref="BE70:BG70"/>
    <mergeCell ref="BE71:BG71"/>
    <mergeCell ref="BE72:BG72"/>
    <mergeCell ref="F30:G30"/>
    <mergeCell ref="B32:D32"/>
    <mergeCell ref="F34:G34"/>
    <mergeCell ref="B33:D33"/>
    <mergeCell ref="B34:D34"/>
    <mergeCell ref="F32:G32"/>
    <mergeCell ref="F33:G33"/>
    <mergeCell ref="B31:D31"/>
    <mergeCell ref="F31:G31"/>
    <mergeCell ref="AI70:AJ70"/>
    <mergeCell ref="AM65:AN65"/>
    <mergeCell ref="AI68:AJ68"/>
    <mergeCell ref="AM68:AN68"/>
    <mergeCell ref="AM59:AN59"/>
    <mergeCell ref="AE60:AH60"/>
    <mergeCell ref="AM64:AR64"/>
    <mergeCell ref="AQ65:AR68"/>
    <mergeCell ref="AM66:AN66"/>
    <mergeCell ref="AE59:AH59"/>
    <mergeCell ref="AG68:AH68"/>
    <mergeCell ref="B36:C37"/>
    <mergeCell ref="AD99:AD100"/>
    <mergeCell ref="AP84:AQ84"/>
    <mergeCell ref="AQ69:AR69"/>
    <mergeCell ref="AR84:AS84"/>
    <mergeCell ref="AH85:AI86"/>
    <mergeCell ref="AD81:AE81"/>
    <mergeCell ref="AM82:AN82"/>
    <mergeCell ref="AH84:AI84"/>
    <mergeCell ref="W66:Z68"/>
    <mergeCell ref="BJ52:BK52"/>
    <mergeCell ref="AD102:AH102"/>
    <mergeCell ref="AG69:AH69"/>
    <mergeCell ref="AD88:AE88"/>
    <mergeCell ref="AT85:AT86"/>
    <mergeCell ref="AA58:AA59"/>
    <mergeCell ref="AM90:AT90"/>
    <mergeCell ref="AM92:AT92"/>
    <mergeCell ref="BE77:BG77"/>
    <mergeCell ref="AT103:AT104"/>
    <mergeCell ref="AM100:AN100"/>
    <mergeCell ref="AR102:AS102"/>
    <mergeCell ref="AH91:AI91"/>
    <mergeCell ref="AH92:AI93"/>
    <mergeCell ref="W46:X46"/>
    <mergeCell ref="AM72:AT72"/>
    <mergeCell ref="AM69:AN69"/>
    <mergeCell ref="AI69:AJ69"/>
    <mergeCell ref="AG48:AJ48"/>
    <mergeCell ref="BH51:BI51"/>
    <mergeCell ref="BH52:BI52"/>
    <mergeCell ref="AY82:AY83"/>
    <mergeCell ref="BL31:BM31"/>
    <mergeCell ref="BL32:BM33"/>
    <mergeCell ref="BG32:BG34"/>
    <mergeCell ref="BH47:BI47"/>
    <mergeCell ref="BJ47:BK47"/>
    <mergeCell ref="BJ55:BK55"/>
    <mergeCell ref="BJ53:BK53"/>
    <mergeCell ref="BQ49:BU49"/>
    <mergeCell ref="BQ50:BU50"/>
    <mergeCell ref="BQ51:BU51"/>
    <mergeCell ref="BJ51:BK51"/>
    <mergeCell ref="BQ47:BU47"/>
    <mergeCell ref="BQ48:BU48"/>
    <mergeCell ref="BJ48:BK48"/>
    <mergeCell ref="BJ49:BK49"/>
    <mergeCell ref="BJ50:BK50"/>
    <mergeCell ref="BQ56:BU56"/>
    <mergeCell ref="BF56:BG56"/>
    <mergeCell ref="BQ52:BU52"/>
    <mergeCell ref="BQ55:BU55"/>
    <mergeCell ref="BJ54:BK54"/>
    <mergeCell ref="BF53:BG53"/>
    <mergeCell ref="BF54:BG54"/>
    <mergeCell ref="BF52:BG52"/>
    <mergeCell ref="BH55:BI55"/>
    <mergeCell ref="BH54:BI54"/>
    <mergeCell ref="BQ59:BU59"/>
    <mergeCell ref="BQ58:BU58"/>
    <mergeCell ref="BQ57:BU57"/>
    <mergeCell ref="BQ54:BU54"/>
    <mergeCell ref="BH53:BI53"/>
    <mergeCell ref="BQ53:BU53"/>
    <mergeCell ref="BH56:BI56"/>
    <mergeCell ref="BJ57:BK57"/>
    <mergeCell ref="BH58:BI58"/>
    <mergeCell ref="BJ56:BK56"/>
    <mergeCell ref="AM10:AS10"/>
    <mergeCell ref="BE73:BG73"/>
    <mergeCell ref="AY80:AY81"/>
    <mergeCell ref="AO69:AP69"/>
    <mergeCell ref="BE69:BG69"/>
    <mergeCell ref="BE81:BG81"/>
    <mergeCell ref="AX78:AX79"/>
    <mergeCell ref="AY78:AY79"/>
    <mergeCell ref="AQ70:AR70"/>
    <mergeCell ref="BC68:BC69"/>
  </mergeCells>
  <conditionalFormatting sqref="C15">
    <cfRule type="cellIs" dxfId="167" priority="264" stopIfTrue="1" operator="between">
      <formula>0.0001</formula>
      <formula>1000</formula>
    </cfRule>
  </conditionalFormatting>
  <conditionalFormatting sqref="C19:D19">
    <cfRule type="expression" dxfId="166" priority="263" stopIfTrue="1">
      <formula>$C$19&lt;&gt;""</formula>
    </cfRule>
  </conditionalFormatting>
  <conditionalFormatting sqref="C22:D22">
    <cfRule type="expression" dxfId="165" priority="260" stopIfTrue="1">
      <formula>$C$22&lt;&gt;""</formula>
    </cfRule>
  </conditionalFormatting>
  <conditionalFormatting sqref="C23:D23">
    <cfRule type="expression" dxfId="164" priority="2" stopIfTrue="1">
      <formula>$AJ$11=1</formula>
    </cfRule>
    <cfRule type="expression" dxfId="163" priority="259" stopIfTrue="1">
      <formula>$C$23&lt;&gt;""</formula>
    </cfRule>
  </conditionalFormatting>
  <conditionalFormatting sqref="C24:D24">
    <cfRule type="expression" dxfId="162" priority="258" stopIfTrue="1">
      <formula>$C$24&lt;&gt;""</formula>
    </cfRule>
  </conditionalFormatting>
  <conditionalFormatting sqref="C25:D25">
    <cfRule type="expression" dxfId="161" priority="257" stopIfTrue="1">
      <formula>$C$25&lt;&gt;""</formula>
    </cfRule>
  </conditionalFormatting>
  <conditionalFormatting sqref="C28">
    <cfRule type="expression" dxfId="157" priority="245" stopIfTrue="1">
      <formula>$AA$54=8</formula>
    </cfRule>
  </conditionalFormatting>
  <conditionalFormatting sqref="F15">
    <cfRule type="containsText" dxfId="156" priority="243" stopIfTrue="1" operator="containsText" text="[ERREUR]">
      <formula>NOT(ISERROR(SEARCH("[ERREUR]",F15)))</formula>
    </cfRule>
    <cfRule type="containsText" dxfId="155" priority="244" stopIfTrue="1" operator="containsText" text="[INFO]">
      <formula>NOT(ISERROR(SEARCH("[INFO]",F15)))</formula>
    </cfRule>
  </conditionalFormatting>
  <conditionalFormatting sqref="F16">
    <cfRule type="containsText" dxfId="154" priority="241" stopIfTrue="1" operator="containsText" text="[ERREUR]">
      <formula>NOT(ISERROR(SEARCH("[ERREUR]",F16)))</formula>
    </cfRule>
    <cfRule type="containsText" dxfId="153" priority="242" stopIfTrue="1" operator="containsText" text="[INFO]">
      <formula>NOT(ISERROR(SEARCH("[INFO]",F16)))</formula>
    </cfRule>
  </conditionalFormatting>
  <conditionalFormatting sqref="G12">
    <cfRule type="expression" dxfId="152" priority="240" stopIfTrue="1">
      <formula>$G$12&lt;&gt;""</formula>
    </cfRule>
  </conditionalFormatting>
  <conditionalFormatting sqref="G11">
    <cfRule type="expression" dxfId="151" priority="239" stopIfTrue="1">
      <formula>$G$11&lt;&gt;""</formula>
    </cfRule>
  </conditionalFormatting>
  <conditionalFormatting sqref="F13">
    <cfRule type="expression" dxfId="150" priority="237" stopIfTrue="1">
      <formula>$W$78=0</formula>
    </cfRule>
    <cfRule type="expression" dxfId="149" priority="238" stopIfTrue="1">
      <formula>$W$78&gt;0</formula>
    </cfRule>
  </conditionalFormatting>
  <conditionalFormatting sqref="I7">
    <cfRule type="expression" dxfId="148" priority="46" stopIfTrue="1">
      <formula>$AK$16=1</formula>
    </cfRule>
    <cfRule type="expression" dxfId="147" priority="234" stopIfTrue="1">
      <formula>$AK$16=2</formula>
    </cfRule>
  </conditionalFormatting>
  <conditionalFormatting sqref="I8">
    <cfRule type="expression" dxfId="146" priority="233" stopIfTrue="1">
      <formula>$I$8&lt;&gt;""</formula>
    </cfRule>
  </conditionalFormatting>
  <conditionalFormatting sqref="I11">
    <cfRule type="expression" dxfId="145" priority="227" stopIfTrue="1">
      <formula>$X$3=0</formula>
    </cfRule>
    <cfRule type="expression" dxfId="144" priority="232" stopIfTrue="1">
      <formula>$I$11&lt;&gt;""</formula>
    </cfRule>
  </conditionalFormatting>
  <conditionalFormatting sqref="I12">
    <cfRule type="expression" dxfId="143" priority="228" stopIfTrue="1">
      <formula>$Y$3=0</formula>
    </cfRule>
    <cfRule type="expression" dxfId="142" priority="231" stopIfTrue="1">
      <formula>$I$12&lt;&gt;""</formula>
    </cfRule>
  </conditionalFormatting>
  <conditionalFormatting sqref="I13">
    <cfRule type="expression" dxfId="141" priority="229" stopIfTrue="1">
      <formula>$Z$3=0</formula>
    </cfRule>
    <cfRule type="expression" dxfId="140" priority="230" stopIfTrue="1">
      <formula>$I$13&lt;&gt;""</formula>
    </cfRule>
  </conditionalFormatting>
  <conditionalFormatting sqref="I17:L22">
    <cfRule type="expression" dxfId="139" priority="226" stopIfTrue="1">
      <formula>$AA$55=15</formula>
    </cfRule>
  </conditionalFormatting>
  <conditionalFormatting sqref="G13">
    <cfRule type="expression" dxfId="138" priority="35" stopIfTrue="1">
      <formula>$G$12="Aucun"</formula>
    </cfRule>
    <cfRule type="expression" dxfId="137" priority="225" stopIfTrue="1">
      <formula>$G$13&lt;&gt;""</formula>
    </cfRule>
  </conditionalFormatting>
  <conditionalFormatting sqref="I14">
    <cfRule type="expression" dxfId="136" priority="223" stopIfTrue="1">
      <formula>$AA$3=0</formula>
    </cfRule>
    <cfRule type="expression" dxfId="135" priority="224" stopIfTrue="1">
      <formula>$I$14&lt;&gt;""</formula>
    </cfRule>
  </conditionalFormatting>
  <conditionalFormatting sqref="I15">
    <cfRule type="expression" dxfId="112" priority="49" stopIfTrue="1">
      <formula>$X$3=0</formula>
    </cfRule>
    <cfRule type="expression" dxfId="111" priority="98" stopIfTrue="1">
      <formula>$BJ$17=1</formula>
    </cfRule>
    <cfRule type="expression" dxfId="110" priority="99" stopIfTrue="1">
      <formula>$BJ$17=3</formula>
    </cfRule>
  </conditionalFormatting>
  <conditionalFormatting sqref="K15">
    <cfRule type="expression" dxfId="109" priority="96" stopIfTrue="1">
      <formula>$X$3=0</formula>
    </cfRule>
    <cfRule type="expression" dxfId="108" priority="97" stopIfTrue="1">
      <formula>$K$15&lt;&gt;""</formula>
    </cfRule>
  </conditionalFormatting>
  <conditionalFormatting sqref="J34">
    <cfRule type="expression" dxfId="107" priority="94" stopIfTrue="1">
      <formula>MAX($AT$47,$AT$53)=2</formula>
    </cfRule>
    <cfRule type="expression" dxfId="106" priority="95" stopIfTrue="1">
      <formula>MAX($AT$47,$AT$53)=1</formula>
    </cfRule>
  </conditionalFormatting>
  <conditionalFormatting sqref="L34">
    <cfRule type="expression" dxfId="105" priority="92" stopIfTrue="1">
      <formula>$AA$14=1</formula>
    </cfRule>
    <cfRule type="expression" dxfId="104" priority="93" stopIfTrue="1">
      <formula>$AA$15=1</formula>
    </cfRule>
  </conditionalFormatting>
  <conditionalFormatting sqref="H33">
    <cfRule type="expression" dxfId="103" priority="88" stopIfTrue="1">
      <formula>$AT$50=2</formula>
    </cfRule>
    <cfRule type="expression" dxfId="102" priority="91" stopIfTrue="1">
      <formula>$AT$50=1</formula>
    </cfRule>
  </conditionalFormatting>
  <conditionalFormatting sqref="I33">
    <cfRule type="expression" dxfId="101" priority="89" stopIfTrue="1">
      <formula>$AO$54=1</formula>
    </cfRule>
    <cfRule type="expression" dxfId="100" priority="90" stopIfTrue="1">
      <formula>$AO$46=1</formula>
    </cfRule>
  </conditionalFormatting>
  <conditionalFormatting sqref="J33">
    <cfRule type="expression" dxfId="99" priority="86" stopIfTrue="1">
      <formula>MAX($AT$49,$AT$52)=2</formula>
    </cfRule>
    <cfRule type="expression" dxfId="98" priority="87" stopIfTrue="1">
      <formula>MAX($AT$49,$AT$52)=1</formula>
    </cfRule>
  </conditionalFormatting>
  <conditionalFormatting sqref="F31">
    <cfRule type="expression" dxfId="97" priority="83" stopIfTrue="1">
      <formula>$AR$46=1</formula>
    </cfRule>
  </conditionalFormatting>
  <conditionalFormatting sqref="H31">
    <cfRule type="expression" dxfId="96" priority="84" stopIfTrue="1">
      <formula>$AT$51=2</formula>
    </cfRule>
    <cfRule type="expression" dxfId="95" priority="85" stopIfTrue="1">
      <formula>$AT$51=1</formula>
    </cfRule>
  </conditionalFormatting>
  <conditionalFormatting sqref="J30">
    <cfRule type="expression" dxfId="94" priority="80" stopIfTrue="1">
      <formula>$AT$48=2</formula>
    </cfRule>
    <cfRule type="expression" dxfId="93" priority="82" stopIfTrue="1">
      <formula>$AT$48=1</formula>
    </cfRule>
  </conditionalFormatting>
  <conditionalFormatting sqref="F30">
    <cfRule type="expression" dxfId="92" priority="81" stopIfTrue="1">
      <formula>$AR$46=1</formula>
    </cfRule>
  </conditionalFormatting>
  <conditionalFormatting sqref="F29:G29">
    <cfRule type="expression" dxfId="91" priority="79" stopIfTrue="1">
      <formula>$AA$55=15</formula>
    </cfRule>
  </conditionalFormatting>
  <conditionalFormatting sqref="F27">
    <cfRule type="expression" dxfId="90" priority="71" stopIfTrue="1">
      <formula>MAX($AT$46,$AS$47)=2</formula>
    </cfRule>
  </conditionalFormatting>
  <conditionalFormatting sqref="G27">
    <cfRule type="expression" dxfId="89" priority="70" stopIfTrue="1">
      <formula>MAX($AS$48,$AS$49)=2</formula>
    </cfRule>
    <cfRule type="expression" dxfId="88" priority="76" stopIfTrue="1">
      <formula>MAX($AS$48,$AS$49)=1</formula>
    </cfRule>
  </conditionalFormatting>
  <conditionalFormatting sqref="H27">
    <cfRule type="expression" dxfId="87" priority="72" stopIfTrue="1">
      <formula>$AS$50=2</formula>
    </cfRule>
    <cfRule type="expression" dxfId="86" priority="78" stopIfTrue="1">
      <formula>$AS$50=1</formula>
    </cfRule>
  </conditionalFormatting>
  <conditionalFormatting sqref="I27">
    <cfRule type="expression" dxfId="85" priority="69" stopIfTrue="1">
      <formula>$AS$51=2</formula>
    </cfRule>
    <cfRule type="expression" dxfId="84" priority="77" stopIfTrue="1">
      <formula>$AS$51=1</formula>
    </cfRule>
  </conditionalFormatting>
  <conditionalFormatting sqref="K27">
    <cfRule type="expression" dxfId="83" priority="67" stopIfTrue="1">
      <formula>MAX($AT$49,$AT$52)=2</formula>
    </cfRule>
    <cfRule type="expression" dxfId="82" priority="75" stopIfTrue="1">
      <formula>MAX($AT$49,$AT$52)=1</formula>
    </cfRule>
  </conditionalFormatting>
  <conditionalFormatting sqref="L27">
    <cfRule type="expression" dxfId="81" priority="66" stopIfTrue="1">
      <formula>MAX($AT$47,$AT$53)=2</formula>
    </cfRule>
    <cfRule type="expression" dxfId="80" priority="74" stopIfTrue="1">
      <formula>MAX($AT$47,$AT$53)=1</formula>
    </cfRule>
  </conditionalFormatting>
  <conditionalFormatting sqref="J27">
    <cfRule type="expression" dxfId="79" priority="68" stopIfTrue="1">
      <formula>MAX($AS$52,$AS$53)=2</formula>
    </cfRule>
    <cfRule type="expression" dxfId="78" priority="73" stopIfTrue="1">
      <formula>MAX($AS$52,$AS$53)=1</formula>
    </cfRule>
  </conditionalFormatting>
  <conditionalFormatting sqref="J26">
    <cfRule type="expression" dxfId="77" priority="64" stopIfTrue="1">
      <formula>MAX($AS$52,$AS$53)=2</formula>
    </cfRule>
    <cfRule type="expression" dxfId="76" priority="65" stopIfTrue="1">
      <formula>MAX($AS$52,$AS$53)=1</formula>
    </cfRule>
  </conditionalFormatting>
  <conditionalFormatting sqref="F26">
    <cfRule type="expression" dxfId="75" priority="63" stopIfTrue="1">
      <formula>MAX($AT$46,$AS$47)=2</formula>
    </cfRule>
  </conditionalFormatting>
  <conditionalFormatting sqref="G26">
    <cfRule type="expression" dxfId="74" priority="61" stopIfTrue="1">
      <formula>MAX($AS$48,$AS$49)=2</formula>
    </cfRule>
    <cfRule type="expression" dxfId="73" priority="62" stopIfTrue="1">
      <formula>MAX($AS$48,$AS$49)=1</formula>
    </cfRule>
  </conditionalFormatting>
  <conditionalFormatting sqref="H26">
    <cfRule type="expression" dxfId="72" priority="59" stopIfTrue="1">
      <formula>$AS$50=2</formula>
    </cfRule>
    <cfRule type="expression" dxfId="71" priority="60" stopIfTrue="1">
      <formula>$AS$50=1</formula>
    </cfRule>
  </conditionalFormatting>
  <conditionalFormatting sqref="I26">
    <cfRule type="expression" dxfId="70" priority="57" stopIfTrue="1">
      <formula>$AS$51=2</formula>
    </cfRule>
    <cfRule type="expression" dxfId="69" priority="58" stopIfTrue="1">
      <formula>$AS$51=1</formula>
    </cfRule>
  </conditionalFormatting>
  <conditionalFormatting sqref="K26">
    <cfRule type="expression" dxfId="68" priority="55" stopIfTrue="1">
      <formula>MAX($AT$49,$AT$52)=2</formula>
    </cfRule>
    <cfRule type="expression" dxfId="67" priority="56" stopIfTrue="1">
      <formula>MAX($AT$49,$AT$52)=1</formula>
    </cfRule>
  </conditionalFormatting>
  <conditionalFormatting sqref="L26">
    <cfRule type="expression" dxfId="66" priority="53" stopIfTrue="1">
      <formula>MAX($AT$47,$AT$53)=2</formula>
    </cfRule>
    <cfRule type="expression" dxfId="65" priority="54" stopIfTrue="1">
      <formula>MAX($AT$47,$AT$53)=1</formula>
    </cfRule>
  </conditionalFormatting>
  <conditionalFormatting sqref="F24:L24">
    <cfRule type="expression" dxfId="64" priority="51" stopIfTrue="1">
      <formula>$AS$55=2</formula>
    </cfRule>
    <cfRule type="expression" dxfId="63" priority="52" stopIfTrue="1">
      <formula>$AS$55=1</formula>
    </cfRule>
  </conditionalFormatting>
  <conditionalFormatting sqref="I23:L23">
    <cfRule type="expression" dxfId="62" priority="50" stopIfTrue="1">
      <formula>$AA$55=15</formula>
    </cfRule>
  </conditionalFormatting>
  <conditionalFormatting sqref="G9">
    <cfRule type="expression" dxfId="44" priority="12" stopIfTrue="1">
      <formula>$I$7=$AD$28</formula>
    </cfRule>
  </conditionalFormatting>
  <conditionalFormatting sqref="D7">
    <cfRule type="cellIs" dxfId="43" priority="11" stopIfTrue="1" operator="between">
      <formula>0.0001</formula>
      <formula>1000</formula>
    </cfRule>
  </conditionalFormatting>
  <conditionalFormatting sqref="I9">
    <cfRule type="expression" dxfId="42" priority="10" stopIfTrue="1">
      <formula>$I$9&lt;&gt;""</formula>
    </cfRule>
  </conditionalFormatting>
  <conditionalFormatting sqref="K9">
    <cfRule type="expression" dxfId="41" priority="8" stopIfTrue="1">
      <formula>$X$103&lt;0</formula>
    </cfRule>
  </conditionalFormatting>
  <conditionalFormatting sqref="C21:D21">
    <cfRule type="expression" dxfId="40" priority="3" stopIfTrue="1">
      <formula>$AJ$11=1</formula>
    </cfRule>
    <cfRule type="expression" dxfId="39" priority="5" stopIfTrue="1">
      <formula>$C$21&lt;&gt;""</formula>
    </cfRule>
  </conditionalFormatting>
  <conditionalFormatting sqref="C20:D20">
    <cfRule type="expression" dxfId="38" priority="4" stopIfTrue="1">
      <formula>$C$20&lt;&gt;""</formula>
    </cfRule>
  </conditionalFormatting>
  <conditionalFormatting sqref="K7">
    <cfRule type="expression" dxfId="37" priority="1" stopIfTrue="1">
      <formula>$AJ$9&lt;0</formula>
    </cfRule>
  </conditionalFormatting>
  <dataValidations count="22">
    <dataValidation allowBlank="1" sqref="AH85:AI86 AT85:AT86 AS65:AS66 BL32:BM33 AT103:AT104 AH92:AI93 AA58:AA59 AE54 Y20:Y21 BC68:BC69 BF21" xr:uid="{27C5C11D-C8EC-4659-B9E5-18441CC54F3B}"/>
    <dataValidation type="list" allowBlank="1" showErrorMessage="1" errorTitle="Erreur de saisie" error="Veuillez choisir dans la liste déroulante" sqref="I12:J12" xr:uid="{3B001880-C1D4-4925-8BB6-F588283BF5A4}">
      <formula1>$DI$3:$DI$26</formula1>
    </dataValidation>
    <dataValidation type="list" allowBlank="1" showErrorMessage="1" errorTitle="Erreur de saisie" error="Veuillez choisir dans la liste déroulante" sqref="I13:J13" xr:uid="{D37D4D54-3DD0-428E-9228-996C142A4CED}">
      <formula1>$DJ$3:$DJ$15</formula1>
    </dataValidation>
    <dataValidation type="list" allowBlank="1" showErrorMessage="1" errorTitle="Erreur de saisie" error="Veuillez choisir dans la liste déroulante" sqref="I14:J14" xr:uid="{CE3668EF-DEBD-44A2-BB7D-2E5C939184A5}">
      <formula1>$DH$3:$DH$12</formula1>
    </dataValidation>
    <dataValidation type="list" allowBlank="1" showErrorMessage="1" errorTitle="Erreur de saisie" error="Veuillez choisir dans la liste déroulante" promptTitle="Les viandes" sqref="I15:J15" xr:uid="{61BD6878-09F4-4839-896B-6F4826A93F6C}">
      <formula1>$DK$3:$DK$52</formula1>
    </dataValidation>
    <dataValidation type="list" allowBlank="1" showErrorMessage="1" errorTitle="Erreur de saisie" error="Veuillez choisir dans la liste déroulante" promptTitle="Option oeuf" sqref="G11" xr:uid="{0E6EBBFA-446F-46B8-9F3B-3E572BCC41B7}">
      <formula1>$DM$3:$DM$13</formula1>
    </dataValidation>
    <dataValidation type="list" allowBlank="1" showErrorMessage="1" errorTitle="Erreur de saisie" error="Veuillez choisir dans la liste déroulante" sqref="G13" xr:uid="{1D9360C2-9F60-4EC2-9930-FD304F064C0A}">
      <formula1>$X$77:$AA$77</formula1>
    </dataValidation>
    <dataValidation type="decimal" allowBlank="1" showErrorMessage="1" errorTitle="Erreur de saisie" error="Veuillez entrer un chiffre entre 0 et 100" sqref="K15 L9" xr:uid="{61D86DD6-BE4B-4D34-964C-00B520744ADA}">
      <formula1>0</formula1>
      <formula2>100</formula2>
    </dataValidation>
    <dataValidation type="decimal" allowBlank="1" showErrorMessage="1" errorTitle="Erreur de saisie" error="Veuillez entrer un chiffre supérieur à 0" promptTitle="Le poids de votre chien" sqref="C15 D7" xr:uid="{3F16EFFC-AB95-423F-8179-11BAE1D6798A}">
      <formula1>0</formula1>
      <formula2>150</formula2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5:D25" xr:uid="{084D3DF0-E9C5-496E-ADC4-3D7667AF1B49}">
      <formula1>$CB$19:$CB$21</formula1>
    </dataValidation>
    <dataValidation type="list" allowBlank="1" showErrorMessage="1" errorTitle="Erreur de saisie" error="Veuillez choisir dans la liste déroulante" promptTitle="Option yaourt" sqref="G12" xr:uid="{0D5B60BB-B4F2-4489-8BA4-4BFEFBC355C4}">
      <formula1>$DN$3:$DN$13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4:D24" xr:uid="{A806CBB6-A1F8-4C78-B0E0-740623046946}">
      <formula1>$CB$28:$CB$32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2:D22" xr:uid="{C9A67F10-A316-4CCA-955F-119511FFDC94}">
      <formula1>$CG$40:$CG$42</formula1>
    </dataValidation>
    <dataValidation type="list" allowBlank="1" showErrorMessage="1" errorTitle="Erreur de saisie" error="Veuillez choisir dans la liste déroulante" promptTitle="Choix du CMV" sqref="I8:J8" xr:uid="{A3012469-0BAF-4E2C-8C8F-BA641B2B6A51}">
      <formula1>$BP$42:$BP$58</formula1>
    </dataValidation>
    <dataValidation type="list" allowBlank="1" showErrorMessage="1" errorTitle="Erreur de saisie" error="Veuillez choisir dans la liste déroulante" promptTitle="Le facteur physiologique" prompt="Adulte (facteur 1)_x000a_Stérilisé  (facteur 0,75)_x000a_Croissance (facteur 2 à 1,2)_x000a_Gestation (facteur 1 à 1,5)_x000a_Lactation (facteur 2,5 à 1,8)_x000a_Senior 2/3 de l'espérance de vie (facteur 0,85)" sqref="C20:D20" xr:uid="{29DBFC02-412F-49A0-B0A8-2A5685D96019}">
      <formula1>$CG$4:$CG$25</formula1>
    </dataValidation>
    <dataValidation type="list" allowBlank="1" showErrorMessage="1" errorTitle="Erreur de saisie" error="Veuillez choisir dans la liste déroulante" promptTitle="Le facteur comportemental" prompt="Très calme (facteur 0,8)_x000a_Calme (facteur 0,9)_x000a_Normal (facteur 1)_x000a_Actif/sportif (facteur 1,1)_x000a_Hyperactif/grand sportif (facteur 1,2)" sqref="C21:D21" xr:uid="{CC7134BC-1157-4C5C-8C9D-013C5446833B}">
      <formula1>$CB$4:$CB$9</formula1>
    </dataValidation>
    <dataValidation type="list" allowBlank="1" showErrorMessage="1" errorTitle="Erreur de saisie" error="Veuillez choisir dans la liste déroulante" promptTitle="Le facteur sanitaire" prompt="Normal (facteur 1)_x000a_Obésité (facteur 0,6)_x000a_Inactivité (facteur 0,8)_x000a_Métabolisme (facteur 0,7 ou 1,5)" sqref="C23:D23" xr:uid="{EB0ABB6C-59AF-4BBD-B464-FCA509E6BCDC}">
      <formula1>$CB$40:$CB$44</formula1>
    </dataValidation>
    <dataValidation type="list" allowBlank="1" showErrorMessage="1" errorTitle="Erreur de saisie" error="Veuillez choisir dans la liste déroulante" promptTitle="Le facteur racial" sqref="C19:D19" xr:uid="{BDFFD122-F4B0-4B15-8A66-F9610ECDBCD8}">
      <formula1>$BY$4:$BY$204</formula1>
    </dataValidation>
    <dataValidation allowBlank="1" showErrorMessage="1" sqref="F11:F16" xr:uid="{7CBA6CC6-51C3-4F7A-AF2F-ED5EF4D504F6}"/>
    <dataValidation type="list" allowBlank="1" showErrorMessage="1" errorTitle="Erreur de saisie" error="Veuillez choisir dans la liste déroulante" promptTitle="Type de formule" sqref="I7:J7" xr:uid="{4E262800-BD4E-48AF-8ABD-F97E97959012}">
      <formula1>$BP$66:$BP$69</formula1>
    </dataValidation>
    <dataValidation type="list" allowBlank="1" showErrorMessage="1" errorTitle="Erreur de saisie" error="Veuillez choisir dans la liste déroulante" promptTitle="Choix du CMV" sqref="I9:J9" xr:uid="{EEE42D79-3DDB-41B3-9755-B3B65185A6BA}">
      <formula1>$W$98:$W$99</formula1>
    </dataValidation>
    <dataValidation type="list" allowBlank="1" showErrorMessage="1" errorTitle="Erreur de saisie" error="Veuillez choisir dans la liste déroulante" promptTitle="Les viandes" sqref="I11:J11" xr:uid="{598DD0F7-E1EF-4143-B7F9-5128274BDE91}">
      <formula1>$DK$3:$DK$52</formula1>
    </dataValidation>
  </dataValidations>
  <hyperlinks>
    <hyperlink ref="B34" r:id="rId1" display="https://pro.anses.fr/tableciqual/" xr:uid="{F16454AF-B702-4895-9BD6-FF8EA5A5705C}"/>
    <hyperlink ref="B32" r:id="rId2" display="https://www.facebook.com/ToutSavoirSurAlimentationChienChat/" xr:uid="{191865EB-56F6-4801-8687-0876DB89EAC7}"/>
    <hyperlink ref="B32:D32" r:id="rId3" display="https://www.unegamelleautop.fr/" xr:uid="{DFFB1E55-3F8A-46E6-8914-A8C3591AE8D6}"/>
    <hyperlink ref="K40" r:id="rId4" xr:uid="{E1A710F9-A331-4BAD-811C-602014EBAF61}"/>
    <hyperlink ref="T9" r:id="rId5" xr:uid="{A4B4A187-A28D-48DB-8792-F21CCF52FFB9}"/>
    <hyperlink ref="T40" r:id="rId6" xr:uid="{DB100C56-16D0-4B53-9B3F-899EE05984E6}"/>
    <hyperlink ref="T71" r:id="rId7" xr:uid="{47ED5EE0-5D78-45A0-9C85-2913DC98AAC7}"/>
  </hyperlinks>
  <pageMargins left="0.7" right="0.7" top="0.75" bottom="0.75" header="0.3" footer="0.3"/>
  <pageSetup paperSize="9" orientation="portrait" r:id="rId8"/>
  <ignoredErrors>
    <ignoredError sqref="V1:GM1 U463:GM684 DS3:GM101 DS130:GM159 DS198:GM202 DS160:GM163 DS180:GM196 DS164:GM178 DS205:GM206 DS203:GM204 DS102:GM128 DQ267:GM462 U267:DP462 S217:T462 U87 U88:U89 S79:U79 S110:T128 S205:T205 S206:T206 S109:T109 S91:T92 S93:T93 S94:T94 S164:T178 S180:T196 S197:U197 S160:T163 S198:T200 S201:T202 S203:T204 S130:T159 S179:U179 S77:U77 S70:U70 S10:U10 S11:U11 S7:U8 S9:U9 S57:T57 S12:U12 S108:T108 S80:T82 S83:T89 S90:T90 S3:T3 S5:U5 S6:U6 S16:U16 S13:U13 S14:U14 S40:U40 S37:U38 S30:T30 S31:T31 S107:T107 S105:T106 S207:T216 S61:T61 S102:T102 S101:T101 S104:T104 S129:U129 S48:U48 S49:T51 S52:T53 S54:T54 S55:T55 S56:T56 S58:T58 S98:T98 S99:T99 S95:T95 S96:T97 S100:T100 S103:T103 S28:T28 S27:T27 S26:T26 S23:T23 S25:T25 S29:T29 S66:T66 S68:U68 S67:U67 S69:U69 S71:U76 S78:U78 S42:U42 S44:U44 S45:U45 S62:T62 S63:T64 S65:T65 S46:U46 S47:U47 S59:T59 S60:T60 S36:U36 S32:T35 S39:U39 S41:U41 S43:U43 S20:T20 S19:T19 S22:T22 S24:T24 S15:U15 S17:U17 S18:T18 S21:T21 S2:T2 S4:T4 U2 U18 U22 U19 U20 U21 U32:U35 U59 U63:U64 U62 U66 U25 U23 U26 U24 U27:U28 U100 U95:U99 U56 U55 U52:U54 U49:U51 U104 U61 U60 U101:U103 U207:U216 U105:U106 U107 U30 U31 U3 U83:U86 U80:U82 U108 U57 U58 U29 U4 U198:U200 U180:U196 U130:U178 U94 U65 U91:U92 U90 U93 U109 U206 U201:U205 U110:U128 DS2:GM2 DS207:GM266 U217:U266 AI95 CT25 CT23 CT11 CT12 CT13 CT18 CT7:CT8 CT27 CT9 CT10 CT19 CT20 CT21 CT22 CT24 CT6 CT26 CT14 CT15 CT16 CT17 CT5 CT4 CR25 CR23 CR11 CR12 CR13 CR18 CR7:CR8 CR27 CR9 CR10 CR19 CR20 CR21 CR22 CR24 AE95 AN105 CJ5 AU65 CR5 CR4 CR6 CR26 CR14 CR15 CR16 CR17 AN87 AT16:BE16 AC50:AD51 AA50:AA51 AD53:AE53 AN15:BE15 AN14:BE14 AB78:BG78 V78:Z78 V79:BG79 BP14:BY14 BM14:BN14 V110:BX128 CB102:DP128 DG203:DP204 V201:BW205 BV26:BX28 CA205:DP206 V206:BX206 BN3:BZ3 BN4:BY5 AV66:BP66 AV65:BU65 BG4:BJ4 CP6:CQ27 CN4:CN27 CI4:CJ4 BD4:BE4 BD6:BY6 AK109:BX109 V109:AI109 AL106:BX108 AF96:BX96 AA96:AD96 AA97:BX97 AU60:BX60 AU57:BN57 CX6:CZ27 CY5:CZ5 CX4:CZ4 CB23:CF26 CB10:CF17 AL9:BY9 AM24:BU25 AM28:BP28 Z33 Z35 AN93:BX93 V93:AL93 AN90:BX90 V90:AL90 V91:BX92 BW65:BX70 V65:AT65 Y36 AI49:AK49 AG51:AK54 AO94:BX94 V94:AM94 AI25:AK25 BR66:BU69 V69:BO69 AI28:AK28 AH27:AS27 AH26:AS26 AI24:AK24 AO57:AS57 AA49:AD49 AA40:AI40 AA39:AI39 V39:Y39 AA47:AA48 AA52 AA45:AK45 AA43:AK43 AB42:AI42 AB44:AK44 AA46:AK46 AA41:AI41 V130:BX178 CB164:DP178 CB180:DP196 V180:BX196 CD160:DP163 CB160:CB163 V198:BX200 CB198:DP202 AG58:BO58 AT10:BY10 AA5:BJ5 CG28:DG31 CB18:CE18 CG3:DE3 CB4:CE8 CB57:CF70 CB130:DP159 CB9:CC9 CB28:CE31 CB71:DG101 CB3:CE3 CB27:CE27 AM12:BE12 AM11:BY11 V11:AI11 AL13:BE13 X13:AI13 DG3:DG27 V77:BG77 V47:V48 V36 V17:BE17 DD4:DE27 V4:BB4 CK57:DG70 V70:BU70 AG49 AD20:AG20 AD21 AD22:AS22 AE21:AF21 AB31:BK31 AD23:BE23 V29:BX29 AD26:AF26 AE27:AF27 AD28 AD30:AS30 AH21:AS21 AI20:AS20 AT30:BX30 AT27:BE27 AT26:BE26 AT22:BE22 AG47:AK47 AG48:AK48 AK105:AM105 AH105:AI105 AI104 AA12:AI12 CE9 V9:AI9 V10:AI10 CC19:CE19 AA6:BB6 V6:Y6 V7:BY8 Y47:Y53 BO31:BX31 BV23:BY25 CE20:CE21 CC20:CC21 BQ58:BX58 V58:AE58 BQ57:BX57 V57:AM57 BJ21:BY21 BM12:BY13 V12:Y12 BM15:BY15 AF106:AI108 V108:AD108 AF105 AK104:BX104 AT20:BE21 BM77:BX82 V80:BG82 V83:BX86 DO3:DP101 DL21 DL22 DL20 DL40 DL35 DL29 DL34 DL36 DL33 DL37:DL39 DL31 DL32 DL30 DL61 DL60 DL101 DL99 DL98 DL95:DL97 DL100 DL25 DL23 DL28 DL24 DL27 DL26 DL66 DL68 DL67 DL69:DL94 DL44 DL43 DL42 DL47:DL53 DL46 DL54:DL56 DL45 DL62 DL63:DL65 DL57:DL59 DL41 DL19 DL17:DL18 DL4:DL12 DL16 DL13:DL14 DL15 DL3 V3:BJ3 V5:Y5 BJ23:BM23 X16:AL16 V13:V16 X14:AL14 BF22:BN22 BF21:BH21 BG23:BH23 BF26:BN26 BM27:BP27 BL31:BN31 BI27:BK27 BF27:BH27 BM16:BY20 BO26:BT26 BO23 BO22:BY22 V40:Y40 V37:AI38 Y34:Z34 W32:X32 V31:X31 AA31 W33:X33 AA33 W34:X36 AA35:AA36 AA32 AA34 W30:AA30 AB30:AC30 V30 Y105:AD107 V107:W107 V105:V106 V207:DP216 Y103:BX103 V101:V103 AS61:BX61 AS60 V60:AO60 V61:AO61 AB34:AK35 Y102:BX102 Y101:BX101 V104:AD104 AC47:AD47 AC48:AE48 AC52:AE52 V49:V51 V52:W54 Y45 Y54:Z54 AB54:AE54 AC55:AK55 V55:Z55 V56:AK56 Z99:BX99 V95:V99 Z98:BX98 AA95:AD95 V100:BX100 BS28:BU28 V27:AC28 BS27:BT27 V24:AC24 V26:AC26 BQ23:BU23 V23:AC23 V25:AC25 V66:AT66 V68:BO68 V67:BO67 V71:BX76 V43:Y43 V42:Y42 V44:Y44 V45:W45 AK62:BX62 V62:AJ62 V63:BX64 V46:Y46 V59:BX59 AB32:AJ33 AB36:AI36 V32:V35 V41:Y41 V21:AC21 V20:AC20 AK19:BE19 V19:AI19 V22:AC22 X15:AL15 V18:BE18 V2:DO2 BF18:BL18 AM15 AJ19 BF19:BL19 AH20 Z41 Y35 AJ36:DK36 Y33 AK33:DK33 BY59:CA59 Z46 BY63:CA64 BY62:CA62 X45 Z44:AA44 Z42:AA42 Z43 BY71:CA76 BP67:BQ67 BP68:BQ68 AU66 AD25:AH25 BF23 BZ23:CA23 AG26 AD24:AH24 BU27 AE28:AH28 AD27 BY28:CA28 BY100:CA100 BY95:CA95 BY98:CA98 W96:Z96 W95:Z95 W99:Y99 W98:Y98 BY99:CA99 AL56:DK56 AA55:AB55 AL55:DK55 AF54 AA54 Z45 X53 X54 W49:X51 X52 AF52 AF48 AE47:AF47 V129:DP129 AE104:AH104 BY101:CA101 BY102:CA102 AL35:DK35 AP61:AR61 AP60:AR60 AT60 BY61:CA61 W103:X103 W101:X101 W102:X102 BY103:CA103 W105:X106 X107 AE106 AE107 Y32:Z32 Z36 Y31:Z31 AJ37:DK38 Z40 BZ22:CH22 BP23 BU26 BZ18:CA18 BZ17:CA17 BZ19:CB19 BZ20:CB20 BL27 BY31:CA31 BQ27:BR27 BI23 BI21 AM14 W13 W16 W15 W14 AM16:AS16 BN23 Z5 BK3:BM3 DM3:DN3 DM15:DN15 DM14:DN14 DM13:DN13 BZ16:CA16 DM16:DN16 DM4:DN4 DM6:DN12 DM5:DN5 DM18:DN18 DM17:DN17 DM19:DN19 DM41:DN41 DM59:DN59 DM57:DN58 DM65:DN65 DM63:DN64 DM62:DN62 DM45:DN45 DM56:DN56 DM55:DN55 DM54:DN54 DM46:DN46 DM53:DN53 DM49:DN51 DM52:DN52 DM48:DN48 DM47:DN47 DM42:DN42 DM43:DN43 DM44:DN44 DM77:DN94 DM71:DN76 DM69:DN70 DM67:DN67 DM68:DN68 DM66:DN66 DM26:DN26 DM27:DN27 DM24:DN24 DM28:DN28 DM23:DN23 DM25:DN25 DM100:DN100 DM95:DN95 DM96:DN97 DM98:DN98 DM99:DN99 DM101:DN101 DM60:DN60 DM61:DN61 DM30:DN30 AK32:DK32 DM32:DN32 DM31:DN31 DM39:DN39 DM37:DN38 DM33:DN33 DM36:DN36 AL34:DK34 DM34:DN34 DM29:DN29 DM35:DN35 DM40:DN40 DM20:DN20 DM22:DN22 DM21:DN21 BY83:CA89 BH80:BL82 BY77:CA79 BY80:CA82 BF20:BL20 BY104:CA104 AE105 AG105 AE108 AJ106:AK106 AJ107:AK107 AJ108:AK108 BZ15:CA15 Z12 BZ13:CA13 BZ12:CA12 BZ21:CB21 AN57 BY57:CA57 AF58 BY58:CA58 CD20 CD21 CF20:CH20 CF21:CH21 BZ25:CA25 BZ24:CA24 Z47 Z53:AC53 Z50 Z52 Z48 BZ7:CA8 Z6 BC6 CF19:CH19 AJ10:AS10 AJ9:AK9 CF9:CH9 AJ12:AL12 AJ104 AJ105 BY105:CA105 AL48:DK48 AL47:DK47 BY30:CA30 AG27 BY29:CA29 AG21 Z49 AH49 BV70 DH59:DK59 DH65:DK65 DH63:DK64 DH62:DK62 DH69:DK69 DH67:DK67 DH68:DK68 DH66:DK66 DH60:DK60 DH61:DK61 DH57:DK57 DH58:DK58 DH70:DK70 BC4 DF23 DF27 DF22 DF26 DF18 DF17 DF14 DF5 DF16 DF15 DF13 DF12 DF20 DF21 DF25 DF24 DF7:DF8 DF6 DF19 DF11 DF10 DF9 DF4 BF17:BL17 W47:X47 W48:X48 BH77:BL77 DH3:DK3 DH23:DK23 DH27:DK27 DH22:DK22 DH26:DK26 DH18:DK18 DH17:DK17 DH14:DK14 DH5:DK5 DH16:DK16 DH15:DK15 DH13:DK13 DH12:DK12 DH20:DK20 DH21:DK21 DH25:DK25 DH24:DK24 DH7:DK8 DH6:DK6 DH19:DK19 DH11:DK11 DH10:DK10 DH9:DK9 DH4:DK4 AJ13:AK13 BF13:BL13 AJ11:AL11 BZ11:CA11 BF12:BL12 CF27:CH27 CF3 DH71:DK76 DH100:DK100 DH95:DK95 DH98:DK98 DH96:DK97 DH99:DK99 DH101:DK101 DH90:DK94 DH83:DK89 DH77:DK79 DH80:DK82 CF28 CF31 CF30 CF29 CD9 V179:DP179 CG59:CJ59 CG65:CJ65 CG63:CJ64 CG62:CJ62 CG69:CJ69 CG67:CJ67 CG68:CJ68 CG66:CJ66 CG60:CJ60 CG61:CJ61 CG57:CJ57 CG58:CJ58 CG70:CJ70 CF5:CH5 CF7:CH8 CF6:CH6 CF4:CH4 DF3 CF18:CH18 DH28:DK28 DH31:DK31 DH30:DK30 DH29:DK29 BK5:BM5 BZ10:CA10 BP58 BY198:CA200 CC160:CC163 V197:DP197 BY180:CA196 BY130:CA159 BY160:CA163 BY164:CA178 AJ41:DK41 AL46:DK46 AL44:DK44 AJ42:DK42 AL43:DK43 AL45:DK45 AB52 AB47 AB48 Z39 AJ39:DK39 AJ40:DK40 AE49:AF49 AT57 AL24 AL28 BP69:BQ69 BV67 BV68 BV66 BV69 AL25 AN94 BY94:CA94 AL54:DK54 AL52:DK52 AL53:DK53 Z51 AL51:DK51 AL49:DK49 BY70:CA70 BY67:CA67 BY68:CA68 BY66:CA66 BY69:CA69 BY65:CA65 BY91:CA92 AM90 BY90:CA90 AM93 BY93:CA93 BQ28:BR28 BZ9:CA9 CG17:CH17 CG14:CH14 CG16:CH16 CG15:CH15 CG13:CH13 CG12:CH12 CG11:CH11 CG10:CH10 CG23:CH23 CG26:CH26 CG25:CH25 CG24:CH24 DA4:DC4 DA5:DC5 DA22:DC22 DA20:DC20 DA21:DC21 DA19:DC19 DA9:DC9 DA27:DC27 DA7:DC8 DA6:DC6 DA18:DC18 DA17:DC17 DA14:DC14 DA16:DC16 DA15:DC15 DA13:DC13 DA12:DC12 DA11:DC11 DA10:DC10 DA23:DC23 DA26:DC26 DA25:DC25 DA24:DC24 BO57:BP57 BY60:CA60 W97:Z97 BY97:CA97 AE96 BY96:CA96 BY106:CA106 BY107:CA107 BY108:CA108 AJ109 BY109:CA109 BZ6:CA6 BF4 CK22:CM22 CK20:CM20 CK21:CM21 CK19:CM19 CK9:CM9 CK27:CM27 CK5:CM5 CK7:CM8 CK6:CM6 CK4:CM4 CK18:CM18 CK17:CM17 CK14:CM14 CK16:CM16 CK15:CM15 CK13:CM13 CK12:CM12 CK11:CM11 CK10:CM10 CK23:CM23 CK26:CM26 CK25:CM25 CK24:CM24 CO22 CO20 CO21 CO19 CO9 CO27 CO5 CO7:CO8 CO6 CO4 CO18 CO17 CO14 CO16 CO15 CO13 CO12 CO11 CO10 CO23 CO26 CO25 CO24 CW22 CW20 CW21 CW19 CW9 CW27 CW5:CX5 CW7:CW8 CW6 CW4 CW18 CW17 CW14 CW16 CW15 CW13 CW12 CW11 CW10 CW23 CW26 CW25 CW24 BK4:BM4 BV65 BQ66 BZ5:CA5 BZ4:CA4 CA3 BY206:BZ206 BY27:CA27 BY26:CA26 BX203:DF204 BX201:CA202 BX205:BZ205 BY110:CA128 BO14 BZ14:CA14 BH79:BL79 AA78 BH78:BL78 BF14:BL14 BF15:BL15 AF53 AB50 AB51 AE50:DK50 AE51:AF51 BF16:BL16 CP4:CQ4 CU4:CV4 CU5:CV27 CS4 CP5:CQ5 CS5 CS6:CS27 CI6:CJ27 CI5 AJ95:BX95 AF95:AH95 V88:BX89 V87:AM87 AO87:BX87 AO105:BX105 V217:DP266 DQ207:DR266 DQ2 DQ102:DR128 DQ203:DR204 DQ205:DR206 DQ164:DR178 DQ180:DR196 DQ160:DR163 DQ198:DR202 DQ130:DR159 DQ3:DR101 DP2 DQ129:DR129 DQ179:DR179 DQ197:DR197" evalError="1"/>
  </ignoredError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3D3E-95B2-4D3E-A2A1-268CC8BD90E7}">
  <dimension ref="B1:AC35"/>
  <sheetViews>
    <sheetView topLeftCell="A2" zoomScale="90" zoomScaleNormal="90" workbookViewId="0">
      <selection activeCell="A2" sqref="A1:IV65536"/>
    </sheetView>
  </sheetViews>
  <sheetFormatPr baseColWidth="10" defaultRowHeight="15.05"/>
  <cols>
    <col min="1" max="1" width="5.77734375" style="228" customWidth="1"/>
    <col min="2" max="2" width="20.6640625" style="228" customWidth="1"/>
    <col min="3" max="3" width="10.6640625" style="228" customWidth="1"/>
    <col min="4" max="4" width="102.88671875" style="228" customWidth="1"/>
    <col min="5" max="5" width="14.6640625" style="228" customWidth="1"/>
    <col min="6" max="6" width="5.77734375" style="228" customWidth="1"/>
    <col min="7" max="8" width="11.5546875" style="228"/>
    <col min="9" max="9" width="5.77734375" style="228" customWidth="1"/>
    <col min="10" max="16384" width="11.5546875" style="228"/>
  </cols>
  <sheetData>
    <row r="1" spans="2:29" ht="18.350000000000001">
      <c r="AA1" s="229"/>
      <c r="AB1" s="229"/>
      <c r="AC1" s="229"/>
    </row>
    <row r="2" spans="2:29" ht="34.549999999999997" customHeight="1">
      <c r="B2" s="241" t="s">
        <v>503</v>
      </c>
      <c r="C2" s="241"/>
      <c r="D2" s="241"/>
      <c r="E2" s="242"/>
      <c r="AA2" s="229"/>
      <c r="AB2" s="229"/>
      <c r="AC2" s="229"/>
    </row>
    <row r="3" spans="2:29" ht="18.350000000000001">
      <c r="B3" s="21" t="s">
        <v>504</v>
      </c>
      <c r="C3" s="21" t="s">
        <v>505</v>
      </c>
      <c r="D3" s="21" t="s">
        <v>506</v>
      </c>
      <c r="E3" s="21" t="s">
        <v>507</v>
      </c>
      <c r="G3" s="243" t="s">
        <v>508</v>
      </c>
      <c r="H3" s="243"/>
      <c r="AA3" s="229"/>
      <c r="AB3" s="229"/>
      <c r="AC3" s="229"/>
    </row>
    <row r="4" spans="2:29" ht="15.05" customHeight="1">
      <c r="B4" s="232" t="s">
        <v>509</v>
      </c>
      <c r="C4" s="236">
        <f>VLOOKUP(B4,$G$4:$H$5,2,0)</f>
        <v>1</v>
      </c>
      <c r="D4" s="244" t="s">
        <v>514</v>
      </c>
      <c r="E4" s="236"/>
      <c r="G4" s="21" t="s">
        <v>509</v>
      </c>
      <c r="H4" s="21">
        <v>1</v>
      </c>
      <c r="AA4" s="229"/>
      <c r="AB4" s="229"/>
      <c r="AC4" s="229"/>
    </row>
    <row r="5" spans="2:29" ht="15.05" customHeight="1">
      <c r="B5" s="232"/>
      <c r="C5" s="236"/>
      <c r="D5" s="244"/>
      <c r="E5" s="232"/>
      <c r="G5" s="21" t="s">
        <v>510</v>
      </c>
      <c r="H5" s="21">
        <v>0</v>
      </c>
      <c r="AA5" s="231"/>
      <c r="AB5" s="231"/>
      <c r="AC5" s="231"/>
    </row>
    <row r="6" spans="2:29" ht="15.05" customHeight="1">
      <c r="B6" s="232" t="s">
        <v>509</v>
      </c>
      <c r="C6" s="236">
        <f>VLOOKUP(B6,$G$4:$H$5,2,0)</f>
        <v>1</v>
      </c>
      <c r="D6" s="244" t="s">
        <v>1142</v>
      </c>
      <c r="E6" s="232">
        <v>18</v>
      </c>
      <c r="G6" s="21"/>
      <c r="H6" s="21"/>
      <c r="AA6" s="231"/>
      <c r="AB6" s="231"/>
      <c r="AC6" s="231"/>
    </row>
    <row r="7" spans="2:29" ht="15.05" customHeight="1">
      <c r="B7" s="232"/>
      <c r="C7" s="236"/>
      <c r="D7" s="244"/>
      <c r="E7" s="232"/>
      <c r="AA7" s="231"/>
      <c r="AB7" s="231" t="s">
        <v>380</v>
      </c>
      <c r="AC7" s="231"/>
    </row>
    <row r="8" spans="2:29" ht="15.05" customHeight="1">
      <c r="B8" s="232" t="s">
        <v>509</v>
      </c>
      <c r="C8" s="236">
        <f>VLOOKUP(B8,$G$4:$H$5,2,0)</f>
        <v>1</v>
      </c>
      <c r="D8" s="244" t="s">
        <v>511</v>
      </c>
      <c r="E8" s="232"/>
      <c r="AA8" s="231"/>
      <c r="AB8" s="231"/>
      <c r="AC8" s="231"/>
    </row>
    <row r="9" spans="2:29" ht="15.05" customHeight="1">
      <c r="B9" s="232"/>
      <c r="C9" s="236"/>
      <c r="D9" s="244"/>
      <c r="E9" s="232"/>
      <c r="G9" s="243" t="s">
        <v>952</v>
      </c>
      <c r="H9" s="243"/>
      <c r="AA9" s="231"/>
      <c r="AB9" s="231" t="s">
        <v>381</v>
      </c>
      <c r="AC9" s="231"/>
    </row>
    <row r="10" spans="2:29" ht="15.05" customHeight="1">
      <c r="B10" s="232" t="s">
        <v>509</v>
      </c>
      <c r="C10" s="236">
        <f>VLOOKUP(B10,$G$4:$H$5,2,0)</f>
        <v>1</v>
      </c>
      <c r="D10" s="244" t="s">
        <v>1143</v>
      </c>
      <c r="E10" s="232">
        <v>30</v>
      </c>
      <c r="G10" s="243"/>
      <c r="H10" s="243"/>
      <c r="AA10" s="231"/>
      <c r="AB10" s="231"/>
      <c r="AC10" s="231"/>
    </row>
    <row r="11" spans="2:29" ht="15.05" customHeight="1">
      <c r="B11" s="232"/>
      <c r="C11" s="236"/>
      <c r="D11" s="244"/>
      <c r="E11" s="232"/>
      <c r="G11" s="232" t="s">
        <v>955</v>
      </c>
      <c r="H11" s="232"/>
      <c r="AA11" s="231"/>
      <c r="AB11" s="231" t="s">
        <v>382</v>
      </c>
      <c r="AC11" s="231"/>
    </row>
    <row r="12" spans="2:29" ht="15.05" customHeight="1">
      <c r="B12" s="232" t="s">
        <v>509</v>
      </c>
      <c r="C12" s="236">
        <f>VLOOKUP(B12,$G$4:$H$5,2,0)</f>
        <v>1</v>
      </c>
      <c r="D12" s="244" t="s">
        <v>1144</v>
      </c>
      <c r="E12" s="232">
        <v>18</v>
      </c>
      <c r="G12" s="232"/>
      <c r="H12" s="232"/>
      <c r="AA12" s="231"/>
      <c r="AB12" s="231" t="s">
        <v>383</v>
      </c>
      <c r="AC12" s="231"/>
    </row>
    <row r="13" spans="2:29" ht="15.05" customHeight="1">
      <c r="B13" s="232"/>
      <c r="C13" s="236"/>
      <c r="D13" s="244"/>
      <c r="E13" s="232"/>
      <c r="AA13" s="231"/>
      <c r="AB13" s="231" t="s">
        <v>384</v>
      </c>
      <c r="AC13" s="231"/>
    </row>
    <row r="14" spans="2:29" ht="15.05" customHeight="1">
      <c r="B14" s="232" t="s">
        <v>509</v>
      </c>
      <c r="C14" s="236">
        <f>VLOOKUP(B14,$G$4:$H$5,2,0)</f>
        <v>1</v>
      </c>
      <c r="D14" s="244" t="s">
        <v>512</v>
      </c>
      <c r="E14" s="232"/>
      <c r="AA14" s="231"/>
      <c r="AB14" s="231"/>
      <c r="AC14" s="231"/>
    </row>
    <row r="15" spans="2:29" ht="15.05" customHeight="1">
      <c r="B15" s="232"/>
      <c r="C15" s="236"/>
      <c r="D15" s="244"/>
      <c r="E15" s="232"/>
      <c r="G15" s="243" t="s">
        <v>925</v>
      </c>
      <c r="H15" s="243"/>
      <c r="J15" s="243" t="s">
        <v>957</v>
      </c>
      <c r="K15" s="243"/>
      <c r="L15" s="245"/>
      <c r="AA15" s="231"/>
      <c r="AB15" s="231" t="s">
        <v>385</v>
      </c>
      <c r="AC15" s="231"/>
    </row>
    <row r="16" spans="2:29" ht="15.05" customHeight="1">
      <c r="B16" s="232" t="s">
        <v>509</v>
      </c>
      <c r="C16" s="236">
        <f>VLOOKUP(B16,$G$4:$H$5,2,0)</f>
        <v>1</v>
      </c>
      <c r="D16" s="244" t="s">
        <v>746</v>
      </c>
      <c r="E16" s="232"/>
      <c r="G16" s="243"/>
      <c r="H16" s="243"/>
      <c r="J16" s="243"/>
      <c r="K16" s="243"/>
      <c r="L16" s="245"/>
      <c r="AA16" s="231"/>
      <c r="AB16" s="231"/>
      <c r="AC16" s="231"/>
    </row>
    <row r="17" spans="2:29" ht="15.05" customHeight="1">
      <c r="B17" s="232"/>
      <c r="C17" s="236"/>
      <c r="D17" s="244"/>
      <c r="E17" s="232"/>
      <c r="G17" s="232" t="s">
        <v>923</v>
      </c>
      <c r="H17" s="232">
        <v>5</v>
      </c>
      <c r="J17" s="246" t="s">
        <v>958</v>
      </c>
      <c r="K17" s="232">
        <v>6</v>
      </c>
      <c r="L17" s="232">
        <v>-1</v>
      </c>
      <c r="AA17" s="231"/>
      <c r="AB17" s="231"/>
      <c r="AC17" s="231"/>
    </row>
    <row r="18" spans="2:29" ht="15.05" customHeight="1">
      <c r="B18" s="232" t="s">
        <v>509</v>
      </c>
      <c r="C18" s="236">
        <f>VLOOKUP(B18,$G$4:$H$5,2,0)</f>
        <v>1</v>
      </c>
      <c r="D18" s="244" t="s">
        <v>1145</v>
      </c>
      <c r="E18" s="232">
        <v>500</v>
      </c>
      <c r="G18" s="232"/>
      <c r="H18" s="232"/>
      <c r="J18" s="232"/>
      <c r="K18" s="232"/>
      <c r="L18" s="232"/>
      <c r="AA18" s="114"/>
      <c r="AB18" s="114"/>
      <c r="AC18" s="114"/>
    </row>
    <row r="19" spans="2:29" ht="15.05" customHeight="1">
      <c r="B19" s="232"/>
      <c r="C19" s="236"/>
      <c r="D19" s="244"/>
      <c r="E19" s="232"/>
      <c r="G19" s="232" t="s">
        <v>924</v>
      </c>
      <c r="H19" s="232">
        <v>15</v>
      </c>
      <c r="J19" s="246" t="s">
        <v>959</v>
      </c>
      <c r="K19" s="232">
        <v>7</v>
      </c>
      <c r="L19" s="232">
        <v>-2</v>
      </c>
      <c r="AA19" s="114"/>
      <c r="AB19" s="114"/>
      <c r="AC19" s="114"/>
    </row>
    <row r="20" spans="2:29" ht="15.05" customHeight="1">
      <c r="B20" s="232" t="s">
        <v>509</v>
      </c>
      <c r="C20" s="236">
        <f>VLOOKUP(B20,$G$4:$H$5,2,0)</f>
        <v>1</v>
      </c>
      <c r="D20" s="244" t="s">
        <v>1146</v>
      </c>
      <c r="E20" s="232">
        <v>8</v>
      </c>
      <c r="G20" s="232"/>
      <c r="H20" s="232"/>
      <c r="J20" s="232"/>
      <c r="K20" s="232"/>
      <c r="L20" s="232"/>
      <c r="AA20" s="114"/>
      <c r="AB20" s="114"/>
      <c r="AC20" s="114"/>
    </row>
    <row r="21" spans="2:29" ht="15.05" customHeight="1">
      <c r="B21" s="232"/>
      <c r="C21" s="236"/>
      <c r="D21" s="244"/>
      <c r="E21" s="232"/>
      <c r="G21" s="232" t="s">
        <v>926</v>
      </c>
      <c r="H21" s="232">
        <v>15</v>
      </c>
      <c r="J21" s="246" t="s">
        <v>960</v>
      </c>
      <c r="K21" s="232">
        <v>8</v>
      </c>
      <c r="L21" s="232">
        <v>-3</v>
      </c>
      <c r="AA21" s="114"/>
      <c r="AB21" s="114"/>
      <c r="AC21" s="114"/>
    </row>
    <row r="22" spans="2:29" ht="15.05" customHeight="1">
      <c r="B22" s="232" t="s">
        <v>509</v>
      </c>
      <c r="C22" s="236">
        <f>VLOOKUP(B22,$G$4:$H$5,2,0)</f>
        <v>1</v>
      </c>
      <c r="D22" s="244" t="s">
        <v>1147</v>
      </c>
      <c r="E22" s="232">
        <v>8</v>
      </c>
      <c r="G22" s="232"/>
      <c r="H22" s="232"/>
      <c r="J22" s="232"/>
      <c r="K22" s="232"/>
      <c r="L22" s="232"/>
      <c r="AA22" s="114"/>
      <c r="AB22" s="114"/>
      <c r="AC22" s="114"/>
    </row>
    <row r="23" spans="2:29" ht="15.05" customHeight="1">
      <c r="B23" s="232"/>
      <c r="C23" s="236"/>
      <c r="D23" s="244"/>
      <c r="E23" s="232"/>
      <c r="AA23" s="114"/>
      <c r="AB23" s="114"/>
      <c r="AC23" s="114"/>
    </row>
    <row r="24" spans="2:29" ht="15.05" customHeight="1">
      <c r="B24" s="232" t="s">
        <v>509</v>
      </c>
      <c r="C24" s="236">
        <f>VLOOKUP(B24,$G$4:$H$5,2,0)</f>
        <v>1</v>
      </c>
      <c r="D24" s="244" t="s">
        <v>1148</v>
      </c>
      <c r="E24" s="232">
        <v>12</v>
      </c>
      <c r="AA24" s="114"/>
      <c r="AB24" s="114"/>
      <c r="AC24" s="114"/>
    </row>
    <row r="25" spans="2:29" ht="15.05" customHeight="1">
      <c r="B25" s="232"/>
      <c r="C25" s="236"/>
      <c r="D25" s="244"/>
      <c r="E25" s="232"/>
      <c r="G25" s="243" t="s">
        <v>929</v>
      </c>
      <c r="H25" s="243"/>
      <c r="AA25" s="114"/>
      <c r="AB25" s="114"/>
      <c r="AC25" s="114"/>
    </row>
    <row r="26" spans="2:29" ht="18.350000000000001">
      <c r="B26" s="232" t="s">
        <v>509</v>
      </c>
      <c r="C26" s="236">
        <f>VLOOKUP(B26,$G$4:$H$5,2,0)</f>
        <v>1</v>
      </c>
      <c r="D26" s="244" t="s">
        <v>1149</v>
      </c>
      <c r="E26" s="232">
        <v>500</v>
      </c>
      <c r="G26" s="243"/>
      <c r="H26" s="243"/>
      <c r="AA26" s="114"/>
      <c r="AB26" s="114"/>
      <c r="AC26" s="114"/>
    </row>
    <row r="27" spans="2:29" ht="18.350000000000001">
      <c r="B27" s="232"/>
      <c r="C27" s="236"/>
      <c r="D27" s="244"/>
      <c r="E27" s="232"/>
      <c r="G27" s="21" t="s">
        <v>927</v>
      </c>
      <c r="H27" s="21">
        <v>5</v>
      </c>
      <c r="AA27" s="114"/>
      <c r="AB27" s="114"/>
      <c r="AC27" s="114"/>
    </row>
    <row r="28" spans="2:29" ht="18.350000000000001">
      <c r="B28" s="241" t="s">
        <v>513</v>
      </c>
      <c r="C28" s="241"/>
      <c r="D28" s="241"/>
      <c r="E28" s="241"/>
      <c r="G28" s="21" t="s">
        <v>928</v>
      </c>
      <c r="H28" s="21">
        <v>5</v>
      </c>
      <c r="AA28" s="114"/>
      <c r="AB28" s="114"/>
      <c r="AC28" s="114"/>
    </row>
    <row r="29" spans="2:29" ht="18.350000000000001">
      <c r="B29" s="241"/>
      <c r="C29" s="241"/>
      <c r="D29" s="241"/>
      <c r="E29" s="241"/>
      <c r="AA29" s="114"/>
      <c r="AB29" s="114"/>
      <c r="AC29" s="114"/>
    </row>
    <row r="30" spans="2:29" ht="18.350000000000001">
      <c r="G30" s="243" t="s">
        <v>1082</v>
      </c>
      <c r="H30" s="243"/>
      <c r="AA30" s="114"/>
      <c r="AB30" s="114"/>
      <c r="AC30" s="114"/>
    </row>
    <row r="31" spans="2:29" ht="18.350000000000001">
      <c r="G31" s="243"/>
      <c r="H31" s="243"/>
      <c r="AA31" s="114"/>
      <c r="AB31" s="114"/>
      <c r="AC31" s="114"/>
    </row>
    <row r="32" spans="2:29" ht="18.350000000000001">
      <c r="G32" s="21" t="s">
        <v>1083</v>
      </c>
      <c r="H32" s="21">
        <v>1.8</v>
      </c>
      <c r="AA32" s="114"/>
      <c r="AB32" s="114"/>
      <c r="AC32" s="114"/>
    </row>
    <row r="33" spans="27:29" ht="18.350000000000001">
      <c r="AA33" s="114"/>
      <c r="AB33" s="114"/>
      <c r="AC33" s="114"/>
    </row>
    <row r="34" spans="27:29" ht="18.350000000000001">
      <c r="AA34" s="114"/>
      <c r="AB34" s="114"/>
      <c r="AC34" s="114"/>
    </row>
    <row r="35" spans="27:29" ht="18.350000000000001">
      <c r="AA35" s="114"/>
      <c r="AB35" s="114"/>
      <c r="AC35" s="114"/>
    </row>
  </sheetData>
  <sheetProtection algorithmName="SHA-512" hashValue="kAZVAmLi21dA1cCiF2I6iW97f08eqHdsktw092Wgzm52XYzSEgCzBNECZ3SyRPc5mWvIMv886xT+l8WXnumZBg==" saltValue="o9QklWgSu3Vj2xl9inEbSw==" spinCount="100000" sheet="1" objects="1" scenarios="1" selectLockedCells="1" selectUnlockedCells="1"/>
  <mergeCells count="72">
    <mergeCell ref="L21:L22"/>
    <mergeCell ref="G9:H10"/>
    <mergeCell ref="G11:H12"/>
    <mergeCell ref="B2:E2"/>
    <mergeCell ref="G3:H3"/>
    <mergeCell ref="B4:B5"/>
    <mergeCell ref="C4:C5"/>
    <mergeCell ref="D4:D5"/>
    <mergeCell ref="E4:E5"/>
    <mergeCell ref="B6:B7"/>
    <mergeCell ref="C6:C7"/>
    <mergeCell ref="D6:D7"/>
    <mergeCell ref="E6:E7"/>
    <mergeCell ref="B8:B9"/>
    <mergeCell ref="C8:C9"/>
    <mergeCell ref="D8:D9"/>
    <mergeCell ref="E8:E9"/>
    <mergeCell ref="B10:B11"/>
    <mergeCell ref="C10:C11"/>
    <mergeCell ref="D10:D11"/>
    <mergeCell ref="E10:E11"/>
    <mergeCell ref="B12:B13"/>
    <mergeCell ref="C12:C13"/>
    <mergeCell ref="D12:D13"/>
    <mergeCell ref="E12:E13"/>
    <mergeCell ref="E20:E21"/>
    <mergeCell ref="B14:B15"/>
    <mergeCell ref="C14:C15"/>
    <mergeCell ref="D14:D15"/>
    <mergeCell ref="E14:E15"/>
    <mergeCell ref="B16:B17"/>
    <mergeCell ref="C16:C17"/>
    <mergeCell ref="D16:D17"/>
    <mergeCell ref="E16:E17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B28:E29"/>
    <mergeCell ref="B26:B27"/>
    <mergeCell ref="C26:C27"/>
    <mergeCell ref="D26:D27"/>
    <mergeCell ref="E26:E27"/>
    <mergeCell ref="B22:B23"/>
    <mergeCell ref="C22:C23"/>
    <mergeCell ref="D22:D23"/>
    <mergeCell ref="E22:E23"/>
    <mergeCell ref="B24:B25"/>
    <mergeCell ref="G25:H26"/>
    <mergeCell ref="G15:H16"/>
    <mergeCell ref="G17:G18"/>
    <mergeCell ref="G19:G20"/>
    <mergeCell ref="H17:H18"/>
    <mergeCell ref="H19:H20"/>
    <mergeCell ref="G21:G22"/>
    <mergeCell ref="H21:H22"/>
    <mergeCell ref="G30:H31"/>
    <mergeCell ref="J15:L16"/>
    <mergeCell ref="L17:L18"/>
    <mergeCell ref="L19:L20"/>
    <mergeCell ref="J17:J18"/>
    <mergeCell ref="K17:K18"/>
    <mergeCell ref="J19:J20"/>
    <mergeCell ref="K19:K20"/>
    <mergeCell ref="J21:J22"/>
    <mergeCell ref="K21:K22"/>
  </mergeCells>
  <dataValidations count="1">
    <dataValidation allowBlank="1" sqref="B4:E27" xr:uid="{0A1343E3-5DC6-4D7F-87DD-EBB027FD6ECB}"/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5306-E4B6-46A8-A3E3-2F63C5332516}">
  <dimension ref="A1:AC38"/>
  <sheetViews>
    <sheetView zoomScaleNormal="100" workbookViewId="0">
      <selection activeCell="A2" sqref="A1:IV65536"/>
    </sheetView>
  </sheetViews>
  <sheetFormatPr baseColWidth="10" defaultRowHeight="15.05"/>
  <cols>
    <col min="1" max="1" width="34.33203125" style="228" bestFit="1" customWidth="1"/>
    <col min="2" max="2" width="15.44140625" style="228" customWidth="1"/>
    <col min="3" max="6" width="11.5546875" style="228"/>
    <col min="7" max="7" width="11.5546875" style="228" customWidth="1"/>
    <col min="8" max="9" width="11.5546875" style="228"/>
    <col min="10" max="11" width="16.77734375" style="228" customWidth="1"/>
    <col min="12" max="12" width="22.77734375" style="228" customWidth="1"/>
    <col min="13" max="13" width="11.5546875" style="228" customWidth="1"/>
    <col min="14" max="14" width="40.6640625" style="228" customWidth="1"/>
    <col min="15" max="16" width="24.77734375" style="228" customWidth="1"/>
    <col min="17" max="17" width="21.88671875" style="228" customWidth="1"/>
    <col min="18" max="16384" width="11.5546875" style="228"/>
  </cols>
  <sheetData>
    <row r="1" spans="1:29" ht="18.350000000000001">
      <c r="A1" s="21" t="s">
        <v>10</v>
      </c>
      <c r="B1" s="21" t="s">
        <v>525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818</v>
      </c>
      <c r="K1" s="21" t="s">
        <v>819</v>
      </c>
      <c r="L1" s="21" t="s">
        <v>817</v>
      </c>
      <c r="M1" s="21" t="s">
        <v>250</v>
      </c>
      <c r="N1" s="21" t="s">
        <v>396</v>
      </c>
      <c r="O1" s="21" t="s">
        <v>948</v>
      </c>
      <c r="P1" s="21" t="s">
        <v>949</v>
      </c>
      <c r="Q1" s="21" t="s">
        <v>940</v>
      </c>
      <c r="AA1" s="229"/>
      <c r="AB1" s="229"/>
      <c r="AC1" s="229"/>
    </row>
    <row r="2" spans="1:29" ht="15.05" customHeight="1">
      <c r="A2" s="21" t="s">
        <v>148</v>
      </c>
      <c r="B2" s="21" t="s">
        <v>24</v>
      </c>
      <c r="C2" s="21">
        <v>21</v>
      </c>
      <c r="D2" s="21">
        <v>3</v>
      </c>
      <c r="E2" s="21">
        <v>24.5</v>
      </c>
      <c r="F2" s="21">
        <v>46</v>
      </c>
      <c r="G2" s="21">
        <v>0.5</v>
      </c>
      <c r="H2" s="21">
        <v>15500</v>
      </c>
      <c r="I2" s="21">
        <v>7600</v>
      </c>
      <c r="J2" s="21">
        <v>2</v>
      </c>
      <c r="K2" s="21">
        <v>2</v>
      </c>
      <c r="L2" s="21">
        <v>2</v>
      </c>
      <c r="M2" s="21">
        <v>5</v>
      </c>
      <c r="N2" s="230" t="s">
        <v>398</v>
      </c>
      <c r="O2" s="21" t="s">
        <v>945</v>
      </c>
      <c r="P2" s="21" t="s">
        <v>941</v>
      </c>
      <c r="Q2" s="21">
        <v>1</v>
      </c>
      <c r="AA2" s="229"/>
      <c r="AB2" s="229"/>
      <c r="AC2" s="229"/>
    </row>
    <row r="3" spans="1:29" ht="15.05" customHeight="1">
      <c r="A3" s="21" t="s">
        <v>147</v>
      </c>
      <c r="B3" s="21" t="s">
        <v>24</v>
      </c>
      <c r="C3" s="21">
        <v>21</v>
      </c>
      <c r="D3" s="21">
        <v>3</v>
      </c>
      <c r="E3" s="21">
        <v>24.5</v>
      </c>
      <c r="F3" s="21">
        <v>46</v>
      </c>
      <c r="G3" s="21">
        <v>0.5</v>
      </c>
      <c r="H3" s="21">
        <v>15500</v>
      </c>
      <c r="I3" s="21">
        <v>7600</v>
      </c>
      <c r="J3" s="21">
        <v>8</v>
      </c>
      <c r="K3" s="21">
        <v>8</v>
      </c>
      <c r="L3" s="21">
        <v>8</v>
      </c>
      <c r="M3" s="21">
        <v>5</v>
      </c>
      <c r="N3" s="230" t="s">
        <v>398</v>
      </c>
      <c r="O3" s="21" t="s">
        <v>945</v>
      </c>
      <c r="P3" s="21" t="s">
        <v>941</v>
      </c>
      <c r="Q3" s="21">
        <v>1</v>
      </c>
      <c r="AA3" s="229"/>
      <c r="AB3" s="229"/>
      <c r="AC3" s="229"/>
    </row>
    <row r="4" spans="1:29" ht="15.05" customHeight="1">
      <c r="A4" s="21" t="s">
        <v>932</v>
      </c>
      <c r="B4" s="21" t="s">
        <v>24</v>
      </c>
      <c r="C4" s="21">
        <v>14.6</v>
      </c>
      <c r="D4" s="21">
        <v>1.6</v>
      </c>
      <c r="E4" s="21">
        <v>21.400000000000013</v>
      </c>
      <c r="F4" s="21">
        <v>44.5</v>
      </c>
      <c r="G4" s="21">
        <v>14.64</v>
      </c>
      <c r="H4" s="21">
        <v>16000</v>
      </c>
      <c r="I4" s="21">
        <v>8000</v>
      </c>
      <c r="J4" s="21">
        <v>3.24</v>
      </c>
      <c r="K4" s="21">
        <v>3.24</v>
      </c>
      <c r="L4" s="21">
        <v>3.24</v>
      </c>
      <c r="M4" s="21">
        <v>3.3</v>
      </c>
      <c r="N4" s="230" t="s">
        <v>377</v>
      </c>
      <c r="O4" s="21" t="s">
        <v>945</v>
      </c>
      <c r="P4" s="21" t="s">
        <v>941</v>
      </c>
      <c r="Q4" s="21">
        <v>1</v>
      </c>
      <c r="AA4" s="229"/>
      <c r="AB4" s="229"/>
      <c r="AC4" s="229"/>
    </row>
    <row r="5" spans="1:29" ht="15.05" customHeight="1">
      <c r="A5" s="21" t="s">
        <v>933</v>
      </c>
      <c r="B5" s="21" t="s">
        <v>25</v>
      </c>
      <c r="C5" s="21">
        <v>4</v>
      </c>
      <c r="D5" s="21">
        <v>0.9</v>
      </c>
      <c r="E5" s="21">
        <v>53.3</v>
      </c>
      <c r="F5" s="21">
        <v>36.15</v>
      </c>
      <c r="G5" s="21">
        <v>0.4</v>
      </c>
      <c r="H5" s="21">
        <v>11000</v>
      </c>
      <c r="I5" s="21">
        <v>5500</v>
      </c>
      <c r="J5" s="21">
        <v>2.5</v>
      </c>
      <c r="K5" s="21">
        <v>2.5</v>
      </c>
      <c r="L5" s="21">
        <v>5</v>
      </c>
      <c r="M5" s="21">
        <v>5.25</v>
      </c>
      <c r="N5" s="230" t="s">
        <v>377</v>
      </c>
      <c r="O5" s="21" t="s">
        <v>947</v>
      </c>
      <c r="P5" s="21" t="s">
        <v>943</v>
      </c>
      <c r="Q5" s="21">
        <v>2</v>
      </c>
      <c r="AA5" s="231"/>
      <c r="AB5" s="231"/>
      <c r="AC5" s="231"/>
    </row>
    <row r="6" spans="1:29" ht="15.05" customHeight="1">
      <c r="A6" s="21" t="s">
        <v>910</v>
      </c>
      <c r="B6" s="21" t="s">
        <v>25</v>
      </c>
      <c r="C6" s="21">
        <v>6.89</v>
      </c>
      <c r="D6" s="21">
        <v>0.59</v>
      </c>
      <c r="E6" s="21">
        <v>2.8599999999999994</v>
      </c>
      <c r="F6" s="21">
        <v>84.66</v>
      </c>
      <c r="G6" s="21">
        <v>0</v>
      </c>
      <c r="H6" s="21">
        <v>19300</v>
      </c>
      <c r="I6" s="21">
        <v>3000</v>
      </c>
      <c r="J6" s="21">
        <v>1</v>
      </c>
      <c r="K6" s="21">
        <v>0.5</v>
      </c>
      <c r="L6" s="21">
        <v>1</v>
      </c>
      <c r="M6" s="21">
        <v>5</v>
      </c>
      <c r="N6" s="230" t="s">
        <v>1023</v>
      </c>
      <c r="O6" s="21" t="s">
        <v>1024</v>
      </c>
      <c r="P6" s="21" t="s">
        <v>1025</v>
      </c>
      <c r="Q6" s="21">
        <v>2</v>
      </c>
      <c r="AA6" s="231"/>
      <c r="AB6" s="231"/>
      <c r="AC6" s="231"/>
    </row>
    <row r="7" spans="1:29" ht="15.05" customHeight="1">
      <c r="A7" s="21" t="s">
        <v>911</v>
      </c>
      <c r="B7" s="21" t="s">
        <v>25</v>
      </c>
      <c r="C7" s="21">
        <v>9</v>
      </c>
      <c r="D7" s="21">
        <v>0.7</v>
      </c>
      <c r="E7" s="21">
        <v>10.299999999999997</v>
      </c>
      <c r="F7" s="21">
        <v>75</v>
      </c>
      <c r="G7" s="21">
        <v>0</v>
      </c>
      <c r="H7" s="21">
        <v>23500</v>
      </c>
      <c r="I7" s="21">
        <v>0</v>
      </c>
      <c r="J7" s="21">
        <v>1</v>
      </c>
      <c r="K7" s="21">
        <v>0.5</v>
      </c>
      <c r="L7" s="21">
        <v>1</v>
      </c>
      <c r="M7" s="21">
        <v>5</v>
      </c>
      <c r="N7" s="230" t="s">
        <v>399</v>
      </c>
      <c r="O7" s="21" t="s">
        <v>1024</v>
      </c>
      <c r="P7" s="21" t="s">
        <v>1025</v>
      </c>
      <c r="Q7" s="21">
        <v>2</v>
      </c>
      <c r="AA7" s="231"/>
      <c r="AB7" s="231" t="s">
        <v>382</v>
      </c>
      <c r="AC7" s="231"/>
    </row>
    <row r="8" spans="1:29" ht="15.05" customHeight="1">
      <c r="A8" s="21" t="s">
        <v>936</v>
      </c>
      <c r="B8" s="21" t="s">
        <v>25</v>
      </c>
      <c r="C8" s="21">
        <v>0.42</v>
      </c>
      <c r="D8" s="21">
        <v>0.12</v>
      </c>
      <c r="E8" s="21">
        <v>38.459999999999994</v>
      </c>
      <c r="F8" s="21">
        <v>56</v>
      </c>
      <c r="G8" s="21">
        <v>0</v>
      </c>
      <c r="H8" s="21">
        <v>20000</v>
      </c>
      <c r="I8" s="21">
        <v>10000</v>
      </c>
      <c r="J8" s="21">
        <v>1</v>
      </c>
      <c r="K8" s="21">
        <v>1</v>
      </c>
      <c r="L8" s="21">
        <v>1</v>
      </c>
      <c r="M8" s="21">
        <v>5</v>
      </c>
      <c r="N8" s="230" t="s">
        <v>937</v>
      </c>
      <c r="O8" s="21" t="s">
        <v>944</v>
      </c>
      <c r="P8" s="21" t="s">
        <v>944</v>
      </c>
      <c r="Q8" s="21">
        <v>3</v>
      </c>
      <c r="AA8" s="231"/>
      <c r="AB8" s="231" t="s">
        <v>383</v>
      </c>
      <c r="AC8" s="231"/>
    </row>
    <row r="9" spans="1:29" ht="15.05" customHeight="1">
      <c r="A9" s="21" t="s">
        <v>1021</v>
      </c>
      <c r="B9" s="21" t="s">
        <v>25</v>
      </c>
      <c r="C9" s="21">
        <v>10</v>
      </c>
      <c r="D9" s="21">
        <v>2</v>
      </c>
      <c r="E9" s="21">
        <v>42.5</v>
      </c>
      <c r="F9" s="21">
        <v>40</v>
      </c>
      <c r="G9" s="21">
        <v>0.5</v>
      </c>
      <c r="H9" s="21">
        <v>16000</v>
      </c>
      <c r="I9" s="21">
        <v>6000</v>
      </c>
      <c r="J9" s="21">
        <v>5</v>
      </c>
      <c r="K9" s="21">
        <v>2.5</v>
      </c>
      <c r="L9" s="21">
        <v>10</v>
      </c>
      <c r="M9" s="21">
        <v>5</v>
      </c>
      <c r="N9" s="230" t="s">
        <v>1030</v>
      </c>
      <c r="O9" s="21" t="s">
        <v>947</v>
      </c>
      <c r="P9" s="21" t="s">
        <v>943</v>
      </c>
      <c r="Q9" s="21">
        <v>2</v>
      </c>
      <c r="AA9" s="231"/>
      <c r="AB9" s="231" t="s">
        <v>384</v>
      </c>
      <c r="AC9" s="231"/>
    </row>
    <row r="10" spans="1:29" ht="15.05" customHeight="1">
      <c r="A10" s="21" t="s">
        <v>999</v>
      </c>
      <c r="B10" s="21" t="s">
        <v>25</v>
      </c>
      <c r="C10" s="21">
        <v>24</v>
      </c>
      <c r="D10" s="21">
        <v>2</v>
      </c>
      <c r="E10" s="21">
        <v>24.5</v>
      </c>
      <c r="F10" s="21">
        <v>46</v>
      </c>
      <c r="G10" s="21">
        <v>0.4</v>
      </c>
      <c r="H10" s="21">
        <v>15000</v>
      </c>
      <c r="I10" s="21">
        <v>5000</v>
      </c>
      <c r="J10" s="21">
        <v>4</v>
      </c>
      <c r="K10" s="21">
        <v>2</v>
      </c>
      <c r="L10" s="21">
        <v>8</v>
      </c>
      <c r="M10" s="21">
        <v>3</v>
      </c>
      <c r="N10" s="230" t="s">
        <v>976</v>
      </c>
      <c r="O10" s="21" t="s">
        <v>946</v>
      </c>
      <c r="P10" s="21" t="s">
        <v>942</v>
      </c>
      <c r="Q10" s="21">
        <v>4</v>
      </c>
      <c r="AA10" s="231"/>
      <c r="AB10" s="231"/>
      <c r="AC10" s="231"/>
    </row>
    <row r="11" spans="1:29" ht="15.05" customHeight="1">
      <c r="A11" s="21" t="s">
        <v>1003</v>
      </c>
      <c r="B11" s="21" t="s">
        <v>25</v>
      </c>
      <c r="C11" s="21">
        <v>31</v>
      </c>
      <c r="D11" s="21">
        <v>3.5</v>
      </c>
      <c r="E11" s="21">
        <v>32</v>
      </c>
      <c r="F11" s="21">
        <v>30</v>
      </c>
      <c r="G11" s="21">
        <v>0.4</v>
      </c>
      <c r="H11" s="21">
        <v>10000</v>
      </c>
      <c r="I11" s="21">
        <v>950</v>
      </c>
      <c r="J11" s="21">
        <v>4</v>
      </c>
      <c r="K11" s="21">
        <v>2</v>
      </c>
      <c r="L11" s="21">
        <v>8</v>
      </c>
      <c r="M11" s="21">
        <v>3</v>
      </c>
      <c r="N11" s="230" t="s">
        <v>976</v>
      </c>
      <c r="O11" s="21" t="s">
        <v>946</v>
      </c>
      <c r="P11" s="21" t="s">
        <v>942</v>
      </c>
      <c r="Q11" s="21">
        <v>4</v>
      </c>
      <c r="AA11" s="231"/>
      <c r="AB11" s="231" t="s">
        <v>385</v>
      </c>
      <c r="AC11" s="231"/>
    </row>
    <row r="12" spans="1:29" ht="15.05" customHeight="1">
      <c r="A12" s="21" t="s">
        <v>1000</v>
      </c>
      <c r="B12" s="21" t="s">
        <v>25</v>
      </c>
      <c r="C12" s="21">
        <v>31</v>
      </c>
      <c r="D12" s="21">
        <v>3.5</v>
      </c>
      <c r="E12" s="21">
        <v>31</v>
      </c>
      <c r="F12" s="21">
        <v>31</v>
      </c>
      <c r="G12" s="21">
        <v>0.4</v>
      </c>
      <c r="H12" s="21">
        <v>10000</v>
      </c>
      <c r="I12" s="21">
        <v>950</v>
      </c>
      <c r="J12" s="21">
        <v>4</v>
      </c>
      <c r="K12" s="21">
        <v>2</v>
      </c>
      <c r="L12" s="21">
        <v>8</v>
      </c>
      <c r="M12" s="21">
        <v>3</v>
      </c>
      <c r="N12" s="230" t="s">
        <v>984</v>
      </c>
      <c r="O12" s="21" t="s">
        <v>946</v>
      </c>
      <c r="P12" s="21" t="s">
        <v>942</v>
      </c>
      <c r="Q12" s="21">
        <v>4</v>
      </c>
      <c r="AA12" s="231"/>
      <c r="AB12" s="231"/>
      <c r="AC12" s="231"/>
    </row>
    <row r="13" spans="1:29" ht="15.05" customHeight="1">
      <c r="A13" s="21" t="s">
        <v>1001</v>
      </c>
      <c r="B13" s="21" t="s">
        <v>25</v>
      </c>
      <c r="C13" s="21">
        <v>24</v>
      </c>
      <c r="D13" s="21">
        <v>2</v>
      </c>
      <c r="E13" s="21">
        <v>24.5</v>
      </c>
      <c r="F13" s="21">
        <v>46</v>
      </c>
      <c r="G13" s="21">
        <v>0.4</v>
      </c>
      <c r="H13" s="21">
        <v>15000</v>
      </c>
      <c r="I13" s="21">
        <v>5000</v>
      </c>
      <c r="J13" s="21">
        <v>2</v>
      </c>
      <c r="K13" s="21">
        <v>1</v>
      </c>
      <c r="L13" s="21">
        <v>4</v>
      </c>
      <c r="M13" s="21">
        <v>3</v>
      </c>
      <c r="N13" s="230" t="s">
        <v>976</v>
      </c>
      <c r="O13" s="21" t="s">
        <v>946</v>
      </c>
      <c r="P13" s="21" t="s">
        <v>942</v>
      </c>
      <c r="Q13" s="21">
        <v>4</v>
      </c>
      <c r="AA13" s="231"/>
      <c r="AB13" s="231"/>
      <c r="AC13" s="231"/>
    </row>
    <row r="14" spans="1:29" ht="15.05" customHeight="1">
      <c r="A14" s="21" t="s">
        <v>1004</v>
      </c>
      <c r="B14" s="21" t="s">
        <v>25</v>
      </c>
      <c r="C14" s="21">
        <v>31</v>
      </c>
      <c r="D14" s="21">
        <v>3.5</v>
      </c>
      <c r="E14" s="21">
        <v>32</v>
      </c>
      <c r="F14" s="21">
        <v>30</v>
      </c>
      <c r="G14" s="21">
        <v>0.4</v>
      </c>
      <c r="H14" s="21">
        <v>10000</v>
      </c>
      <c r="I14" s="21">
        <v>950</v>
      </c>
      <c r="J14" s="21">
        <v>2</v>
      </c>
      <c r="K14" s="21">
        <v>1</v>
      </c>
      <c r="L14" s="21">
        <v>4</v>
      </c>
      <c r="M14" s="21">
        <v>3</v>
      </c>
      <c r="N14" s="230" t="s">
        <v>976</v>
      </c>
      <c r="O14" s="21" t="s">
        <v>946</v>
      </c>
      <c r="P14" s="21" t="s">
        <v>942</v>
      </c>
      <c r="Q14" s="21">
        <v>4</v>
      </c>
      <c r="AA14" s="114"/>
      <c r="AB14" s="114"/>
      <c r="AC14" s="114"/>
    </row>
    <row r="15" spans="1:29" ht="15.05" customHeight="1">
      <c r="A15" s="21" t="s">
        <v>1002</v>
      </c>
      <c r="B15" s="21" t="s">
        <v>25</v>
      </c>
      <c r="C15" s="21">
        <v>31</v>
      </c>
      <c r="D15" s="21">
        <v>3.5</v>
      </c>
      <c r="E15" s="21">
        <v>31</v>
      </c>
      <c r="F15" s="21">
        <v>31</v>
      </c>
      <c r="G15" s="21">
        <v>0.4</v>
      </c>
      <c r="H15" s="21">
        <v>10000</v>
      </c>
      <c r="I15" s="21">
        <v>950</v>
      </c>
      <c r="J15" s="21">
        <v>2</v>
      </c>
      <c r="K15" s="21">
        <v>1</v>
      </c>
      <c r="L15" s="21">
        <v>4</v>
      </c>
      <c r="M15" s="21">
        <v>3</v>
      </c>
      <c r="N15" s="230" t="s">
        <v>984</v>
      </c>
      <c r="O15" s="21" t="s">
        <v>946</v>
      </c>
      <c r="P15" s="21" t="s">
        <v>942</v>
      </c>
      <c r="Q15" s="21">
        <v>4</v>
      </c>
      <c r="AA15" s="114"/>
      <c r="AB15" s="114"/>
      <c r="AC15" s="114"/>
    </row>
    <row r="16" spans="1:29" ht="15.05" customHeight="1">
      <c r="A16" s="21" t="s">
        <v>1022</v>
      </c>
      <c r="B16" s="21" t="s">
        <v>25</v>
      </c>
      <c r="C16" s="21">
        <v>10</v>
      </c>
      <c r="D16" s="21">
        <v>2</v>
      </c>
      <c r="E16" s="21">
        <v>42.5</v>
      </c>
      <c r="F16" s="21">
        <v>40</v>
      </c>
      <c r="G16" s="21">
        <v>0.5</v>
      </c>
      <c r="H16" s="21">
        <v>12000</v>
      </c>
      <c r="I16" s="21">
        <v>1000</v>
      </c>
      <c r="J16" s="21">
        <v>5</v>
      </c>
      <c r="K16" s="21">
        <v>2.5</v>
      </c>
      <c r="L16" s="21">
        <v>10</v>
      </c>
      <c r="M16" s="21">
        <v>5</v>
      </c>
      <c r="N16" s="230" t="s">
        <v>1030</v>
      </c>
      <c r="O16" s="21" t="s">
        <v>947</v>
      </c>
      <c r="P16" s="21" t="s">
        <v>943</v>
      </c>
      <c r="Q16" s="21">
        <v>2</v>
      </c>
      <c r="AA16" s="114"/>
      <c r="AB16" s="114"/>
      <c r="AC16" s="114"/>
    </row>
    <row r="17" spans="1:29" ht="15.05" customHeight="1">
      <c r="A17" s="21" t="s">
        <v>1027</v>
      </c>
      <c r="B17" s="21" t="s">
        <v>25</v>
      </c>
      <c r="C17" s="21">
        <v>4</v>
      </c>
      <c r="D17" s="21">
        <v>0.4</v>
      </c>
      <c r="E17" s="21">
        <v>51.4</v>
      </c>
      <c r="F17" s="21">
        <v>38</v>
      </c>
      <c r="G17" s="21">
        <v>1.2</v>
      </c>
      <c r="H17" s="21">
        <v>15000</v>
      </c>
      <c r="I17" s="21">
        <v>2800</v>
      </c>
      <c r="J17" s="21">
        <v>0.5</v>
      </c>
      <c r="K17" s="21">
        <v>0.25</v>
      </c>
      <c r="L17" s="21">
        <v>1</v>
      </c>
      <c r="M17" s="21">
        <v>5</v>
      </c>
      <c r="N17" s="230" t="s">
        <v>1026</v>
      </c>
      <c r="O17" s="21" t="s">
        <v>1028</v>
      </c>
      <c r="P17" s="21" t="s">
        <v>1029</v>
      </c>
      <c r="Q17" s="21">
        <v>1</v>
      </c>
      <c r="AA17" s="114"/>
      <c r="AB17" s="114"/>
      <c r="AC17" s="114"/>
    </row>
    <row r="18" spans="1:29" ht="15.05" customHeight="1">
      <c r="A18" s="239" t="s">
        <v>1093</v>
      </c>
      <c r="B18" s="21" t="s">
        <v>25</v>
      </c>
      <c r="C18" s="21">
        <v>10</v>
      </c>
      <c r="D18" s="21">
        <v>2</v>
      </c>
      <c r="E18" s="21">
        <v>42.5</v>
      </c>
      <c r="F18" s="21">
        <v>40</v>
      </c>
      <c r="G18" s="21">
        <v>0.5</v>
      </c>
      <c r="H18" s="21">
        <v>19000</v>
      </c>
      <c r="I18" s="21">
        <v>5000</v>
      </c>
      <c r="J18" s="21">
        <v>1.75</v>
      </c>
      <c r="K18" s="21">
        <v>1.75</v>
      </c>
      <c r="L18" s="21">
        <v>3.5</v>
      </c>
      <c r="M18" s="21">
        <v>5</v>
      </c>
      <c r="N18" s="230" t="s">
        <v>937</v>
      </c>
      <c r="O18" s="21" t="s">
        <v>947</v>
      </c>
      <c r="P18" s="21" t="s">
        <v>943</v>
      </c>
      <c r="Q18" s="21">
        <v>2</v>
      </c>
      <c r="AA18" s="114"/>
      <c r="AB18" s="114"/>
      <c r="AC18" s="114"/>
    </row>
    <row r="19" spans="1:29" ht="15.05" customHeight="1">
      <c r="A19" s="239" t="s">
        <v>1031</v>
      </c>
      <c r="B19" s="21" t="s">
        <v>25</v>
      </c>
      <c r="C19" s="21">
        <v>10</v>
      </c>
      <c r="D19" s="21">
        <v>2</v>
      </c>
      <c r="E19" s="21">
        <v>42.5</v>
      </c>
      <c r="F19" s="21">
        <v>40</v>
      </c>
      <c r="G19" s="21">
        <v>0.5</v>
      </c>
      <c r="H19" s="21">
        <v>18000</v>
      </c>
      <c r="I19" s="21">
        <v>2000</v>
      </c>
      <c r="J19" s="21">
        <v>1.75</v>
      </c>
      <c r="K19" s="21">
        <v>1.75</v>
      </c>
      <c r="L19" s="21">
        <v>3.5</v>
      </c>
      <c r="M19" s="21">
        <v>5</v>
      </c>
      <c r="N19" s="230" t="s">
        <v>937</v>
      </c>
      <c r="O19" s="21" t="s">
        <v>947</v>
      </c>
      <c r="P19" s="21" t="s">
        <v>943</v>
      </c>
      <c r="Q19" s="21">
        <v>2</v>
      </c>
      <c r="AA19" s="114"/>
      <c r="AB19" s="114"/>
      <c r="AC19" s="114"/>
    </row>
    <row r="20" spans="1:29" ht="15.05" customHeight="1">
      <c r="AA20" s="114"/>
      <c r="AB20" s="114"/>
      <c r="AC20" s="114"/>
    </row>
    <row r="21" spans="1:29" ht="15.05" customHeight="1">
      <c r="D21" s="240"/>
      <c r="E21" s="21" t="s">
        <v>1138</v>
      </c>
      <c r="F21" s="240"/>
      <c r="G21" s="240"/>
      <c r="AA21" s="114"/>
      <c r="AB21" s="114"/>
      <c r="AC21" s="114"/>
    </row>
    <row r="22" spans="1:29" ht="15.05" customHeight="1">
      <c r="AA22" s="114"/>
      <c r="AB22" s="114"/>
      <c r="AC22" s="114"/>
    </row>
    <row r="23" spans="1:29" ht="15.05" customHeight="1">
      <c r="AA23" s="114"/>
      <c r="AB23" s="114"/>
      <c r="AC23" s="114"/>
    </row>
    <row r="24" spans="1:29" ht="15.05" customHeight="1">
      <c r="AA24" s="114"/>
      <c r="AB24" s="114"/>
      <c r="AC24" s="114"/>
    </row>
    <row r="25" spans="1:29" ht="15.05" customHeight="1">
      <c r="AA25" s="114"/>
      <c r="AB25" s="114"/>
      <c r="AC25" s="114"/>
    </row>
    <row r="26" spans="1:29" ht="15.05" customHeight="1">
      <c r="AA26" s="114"/>
      <c r="AB26" s="114"/>
      <c r="AC26" s="114"/>
    </row>
    <row r="27" spans="1:29" ht="15.05" customHeight="1">
      <c r="AA27" s="114"/>
      <c r="AB27" s="114"/>
      <c r="AC27" s="114"/>
    </row>
    <row r="28" spans="1:29" ht="15.05" customHeight="1">
      <c r="AA28" s="114"/>
      <c r="AB28" s="114"/>
      <c r="AC28" s="114"/>
    </row>
    <row r="29" spans="1:29" ht="15.05" customHeight="1">
      <c r="AA29" s="114"/>
      <c r="AB29" s="114"/>
      <c r="AC29" s="114"/>
    </row>
    <row r="30" spans="1:29" ht="15.05" customHeight="1">
      <c r="AA30" s="114"/>
      <c r="AB30" s="114"/>
      <c r="AC30" s="114"/>
    </row>
    <row r="31" spans="1:29" ht="15.05" customHeight="1">
      <c r="AA31" s="114"/>
      <c r="AB31" s="114"/>
      <c r="AC31" s="114"/>
    </row>
    <row r="32" spans="1:29" ht="15.05" customHeight="1">
      <c r="AA32" s="114"/>
      <c r="AB32" s="114"/>
      <c r="AC32" s="114"/>
    </row>
    <row r="33" spans="27:29" ht="15.05" customHeight="1">
      <c r="AA33" s="114"/>
      <c r="AB33" s="114"/>
      <c r="AC33" s="114"/>
    </row>
    <row r="34" spans="27:29" ht="15.05" customHeight="1">
      <c r="AA34" s="114"/>
      <c r="AB34" s="114"/>
      <c r="AC34" s="114"/>
    </row>
    <row r="35" spans="27:29" ht="15.05" customHeight="1">
      <c r="AA35" s="114"/>
      <c r="AB35" s="114"/>
      <c r="AC35" s="114"/>
    </row>
    <row r="36" spans="27:29" ht="15.05" customHeight="1"/>
    <row r="37" spans="27:29" ht="15.05" customHeight="1"/>
    <row r="38" spans="27:29" ht="15.05" customHeight="1"/>
  </sheetData>
  <sheetProtection algorithmName="SHA-512" hashValue="RV5cv6ExrLLvFFb8rxYAfVBUW+p5O59Sk3NnRj5wk+lhO8ZcBLyKHy0+9drYPEOER/HDabzRNiVFrYJWgL/Gtw==" saltValue="Uc3SS/WPu/XXUTKs/OdoE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A75CD-4A0D-428F-A6ED-FCBFD961D9CE}">
  <dimension ref="A1:AC42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6" width="11.5546875" style="228"/>
    <col min="7" max="7" width="11.5546875" style="228" customWidth="1"/>
    <col min="8" max="17" width="11.5546875" style="228"/>
    <col min="18" max="18" width="30.6640625" style="228" customWidth="1"/>
    <col min="19" max="19" width="40.6640625" style="228" customWidth="1"/>
    <col min="20" max="20" width="100.6640625" style="228" customWidth="1"/>
    <col min="21" max="21" width="19" style="228" customWidth="1"/>
    <col min="22" max="16384" width="11.5546875" style="228"/>
  </cols>
  <sheetData>
    <row r="1" spans="1:29" ht="18.350000000000001">
      <c r="A1" s="21" t="s">
        <v>1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394</v>
      </c>
      <c r="S1" s="21" t="s">
        <v>396</v>
      </c>
      <c r="T1" s="21" t="s">
        <v>395</v>
      </c>
      <c r="U1" s="21" t="s">
        <v>750</v>
      </c>
      <c r="AA1" s="229"/>
      <c r="AB1" s="229"/>
      <c r="AC1" s="229"/>
    </row>
    <row r="2" spans="1:29" ht="15.05" customHeight="1">
      <c r="A2" s="21" t="s">
        <v>245</v>
      </c>
      <c r="B2" s="21">
        <v>900</v>
      </c>
      <c r="C2" s="21">
        <v>0</v>
      </c>
      <c r="D2" s="235">
        <v>100</v>
      </c>
      <c r="E2" s="235">
        <v>0</v>
      </c>
      <c r="F2" s="235">
        <v>5.3999999999999998E-5</v>
      </c>
      <c r="G2" s="235">
        <v>0</v>
      </c>
      <c r="H2" s="21">
        <v>2.57</v>
      </c>
      <c r="I2" s="235">
        <v>0</v>
      </c>
      <c r="J2" s="235">
        <v>0</v>
      </c>
      <c r="K2" s="235">
        <v>0</v>
      </c>
      <c r="L2" s="235">
        <v>55.2</v>
      </c>
      <c r="M2" s="21">
        <v>19.399999999999999</v>
      </c>
      <c r="N2" s="21">
        <v>7.54</v>
      </c>
      <c r="O2" s="235">
        <v>0</v>
      </c>
      <c r="P2" s="235">
        <v>0</v>
      </c>
      <c r="Q2" s="21"/>
      <c r="R2" s="230" t="s">
        <v>370</v>
      </c>
      <c r="S2" s="230" t="s">
        <v>371</v>
      </c>
      <c r="T2" s="230" t="str">
        <f>"
Huile de colza : ultra complète avec des Omegas 3, 6 et 9"</f>
        <v xml:space="preserve">
Huile de colza : ultra complète avec des Omegas 3, 6 et 9</v>
      </c>
      <c r="U2" s="21">
        <v>0</v>
      </c>
      <c r="AA2" s="229"/>
      <c r="AB2" s="229"/>
      <c r="AC2" s="229"/>
    </row>
    <row r="3" spans="1:29" ht="15.05" customHeight="1">
      <c r="A3" s="21" t="s">
        <v>246</v>
      </c>
      <c r="B3" s="235">
        <v>900</v>
      </c>
      <c r="C3" s="235">
        <v>0</v>
      </c>
      <c r="D3" s="235">
        <v>100</v>
      </c>
      <c r="E3" s="235">
        <v>0</v>
      </c>
      <c r="F3" s="235">
        <v>0</v>
      </c>
      <c r="G3" s="235">
        <v>0</v>
      </c>
      <c r="H3" s="235">
        <v>0</v>
      </c>
      <c r="I3" s="235">
        <v>0</v>
      </c>
      <c r="J3" s="235">
        <v>0</v>
      </c>
      <c r="K3" s="235">
        <v>0</v>
      </c>
      <c r="L3" s="21">
        <v>0</v>
      </c>
      <c r="M3" s="21">
        <v>0</v>
      </c>
      <c r="N3" s="21">
        <v>10.48</v>
      </c>
      <c r="O3" s="235">
        <v>6.27</v>
      </c>
      <c r="P3" s="235">
        <v>4.21</v>
      </c>
      <c r="Q3" s="21"/>
      <c r="R3" s="230" t="s">
        <v>326</v>
      </c>
      <c r="S3" s="230" t="s">
        <v>372</v>
      </c>
      <c r="T3" s="230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3" s="21">
        <v>0</v>
      </c>
      <c r="AA3" s="229"/>
      <c r="AB3" s="229"/>
      <c r="AC3" s="229"/>
    </row>
    <row r="4" spans="1:29" ht="15.05" customHeight="1">
      <c r="A4" s="21" t="s">
        <v>248</v>
      </c>
      <c r="B4" s="235">
        <v>900</v>
      </c>
      <c r="C4" s="235">
        <v>0</v>
      </c>
      <c r="D4" s="235">
        <v>100</v>
      </c>
      <c r="E4" s="235">
        <v>0</v>
      </c>
      <c r="F4" s="235">
        <v>0</v>
      </c>
      <c r="G4" s="235">
        <v>0</v>
      </c>
      <c r="H4" s="235">
        <v>0</v>
      </c>
      <c r="I4" s="235">
        <v>0</v>
      </c>
      <c r="J4" s="235">
        <v>0</v>
      </c>
      <c r="K4" s="235">
        <v>0</v>
      </c>
      <c r="L4" s="21">
        <v>0</v>
      </c>
      <c r="M4" s="21">
        <v>0</v>
      </c>
      <c r="N4" s="21">
        <v>20.799999999999997</v>
      </c>
      <c r="O4" s="235">
        <v>10.1</v>
      </c>
      <c r="P4" s="235">
        <v>10.7</v>
      </c>
      <c r="Q4" s="21"/>
      <c r="R4" s="230" t="s">
        <v>327</v>
      </c>
      <c r="S4" s="230" t="s">
        <v>372</v>
      </c>
      <c r="T4" s="230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4" s="21">
        <v>0</v>
      </c>
      <c r="AA4" s="229"/>
      <c r="AB4" s="229"/>
      <c r="AC4" s="229"/>
    </row>
    <row r="5" spans="1:29" ht="15.05" customHeight="1">
      <c r="A5" s="21" t="s">
        <v>249</v>
      </c>
      <c r="B5" s="235">
        <v>900</v>
      </c>
      <c r="C5" s="235">
        <v>0</v>
      </c>
      <c r="D5" s="235">
        <v>100</v>
      </c>
      <c r="E5" s="235">
        <v>0</v>
      </c>
      <c r="F5" s="235">
        <v>0</v>
      </c>
      <c r="G5" s="235">
        <v>0</v>
      </c>
      <c r="H5" s="235">
        <v>0</v>
      </c>
      <c r="I5" s="235">
        <v>0</v>
      </c>
      <c r="J5" s="235">
        <v>0</v>
      </c>
      <c r="K5" s="235">
        <v>0</v>
      </c>
      <c r="L5" s="21">
        <v>0</v>
      </c>
      <c r="M5" s="21">
        <v>0</v>
      </c>
      <c r="N5" s="21">
        <v>31.2</v>
      </c>
      <c r="O5" s="235">
        <v>13</v>
      </c>
      <c r="P5" s="235">
        <v>18.2</v>
      </c>
      <c r="Q5" s="21"/>
      <c r="R5" s="230" t="s">
        <v>328</v>
      </c>
      <c r="S5" s="230" t="s">
        <v>372</v>
      </c>
      <c r="T5" s="230" t="str">
        <f>"
Huile de poisson : elle n'apporte que des oméga 3 et attention à la conservation car elle s'oxyde très facilement"</f>
        <v xml:space="preserve">
Huile de poisson : elle n'apporte que des oméga 3 et attention à la conservation car elle s'oxyde très facilement</v>
      </c>
      <c r="U5" s="21">
        <v>0</v>
      </c>
      <c r="AA5" s="231"/>
      <c r="AB5" s="231"/>
      <c r="AC5" s="231"/>
    </row>
    <row r="6" spans="1:29" ht="15.05" customHeight="1">
      <c r="A6" s="21" t="s">
        <v>247</v>
      </c>
      <c r="B6" s="235">
        <v>900</v>
      </c>
      <c r="C6" s="235">
        <v>0</v>
      </c>
      <c r="D6" s="235">
        <v>100</v>
      </c>
      <c r="E6" s="235">
        <v>0</v>
      </c>
      <c r="F6" s="21">
        <v>0.25</v>
      </c>
      <c r="G6" s="235">
        <v>0</v>
      </c>
      <c r="H6" s="235">
        <v>0.3</v>
      </c>
      <c r="I6" s="21">
        <v>0.3</v>
      </c>
      <c r="J6" s="21">
        <v>1.2999999999999999E-2</v>
      </c>
      <c r="K6" s="235">
        <v>0</v>
      </c>
      <c r="L6" s="235">
        <v>18.600000000000001</v>
      </c>
      <c r="M6" s="21">
        <v>63.71</v>
      </c>
      <c r="N6" s="21">
        <v>0.34</v>
      </c>
      <c r="O6" s="21">
        <v>0.01</v>
      </c>
      <c r="P6" s="21">
        <v>0.01</v>
      </c>
      <c r="Q6" s="21"/>
      <c r="R6" s="230" t="s">
        <v>373</v>
      </c>
      <c r="S6" s="230" t="s">
        <v>914</v>
      </c>
      <c r="T6" s="230" t="str">
        <f>"
Huile de pépins de raisin : elle n'apporte que des oméga 6, à alterner avec de l'huile de poisson"</f>
        <v xml:space="preserve">
Huile de pépins de raisin : elle n'apporte que des oméga 6, à alterner avec de l'huile de poisson</v>
      </c>
      <c r="U6" s="21">
        <v>0</v>
      </c>
      <c r="AA6" s="231"/>
      <c r="AB6" s="231"/>
      <c r="AC6" s="231"/>
    </row>
    <row r="7" spans="1:29" ht="15.05" customHeight="1">
      <c r="A7" s="21" t="s">
        <v>329</v>
      </c>
      <c r="B7" s="235">
        <v>900</v>
      </c>
      <c r="C7" s="235">
        <v>0</v>
      </c>
      <c r="D7" s="235">
        <v>100</v>
      </c>
      <c r="E7" s="235">
        <v>0</v>
      </c>
      <c r="F7" s="235">
        <v>0</v>
      </c>
      <c r="G7" s="235">
        <v>0</v>
      </c>
      <c r="H7" s="235">
        <v>0</v>
      </c>
      <c r="I7" s="235">
        <v>0</v>
      </c>
      <c r="J7" s="235">
        <v>0</v>
      </c>
      <c r="K7" s="235">
        <v>0</v>
      </c>
      <c r="L7" s="235">
        <v>15.2</v>
      </c>
      <c r="M7" s="21">
        <v>56.1</v>
      </c>
      <c r="N7" s="21">
        <v>11.9</v>
      </c>
      <c r="O7" s="235">
        <v>0</v>
      </c>
      <c r="P7" s="235">
        <v>0</v>
      </c>
      <c r="Q7" s="21"/>
      <c r="R7" s="230" t="s">
        <v>332</v>
      </c>
      <c r="S7" s="230" t="s">
        <v>915</v>
      </c>
      <c r="T7" s="230" t="str">
        <f>"
Huile de noix : contient surtout des oméga 6 mais également des oméga 3 et 9"</f>
        <v xml:space="preserve">
Huile de noix : contient surtout des oméga 6 mais également des oméga 3 et 9</v>
      </c>
      <c r="U7" s="21">
        <v>0</v>
      </c>
      <c r="AA7" s="231"/>
      <c r="AB7" s="231" t="s">
        <v>380</v>
      </c>
      <c r="AC7" s="231"/>
    </row>
    <row r="8" spans="1:29" ht="15.05" customHeight="1">
      <c r="A8" s="21" t="s">
        <v>330</v>
      </c>
      <c r="B8" s="235">
        <v>900</v>
      </c>
      <c r="C8" s="235">
        <v>0</v>
      </c>
      <c r="D8" s="235">
        <v>100</v>
      </c>
      <c r="E8" s="235">
        <v>0</v>
      </c>
      <c r="F8" s="235">
        <v>0</v>
      </c>
      <c r="G8" s="235">
        <v>0</v>
      </c>
      <c r="H8" s="235">
        <v>0</v>
      </c>
      <c r="I8" s="235">
        <v>0</v>
      </c>
      <c r="J8" s="235">
        <v>0</v>
      </c>
      <c r="K8" s="235">
        <v>0</v>
      </c>
      <c r="L8" s="235">
        <v>12.5</v>
      </c>
      <c r="M8" s="21">
        <v>46.9</v>
      </c>
      <c r="N8" s="21">
        <v>5.91</v>
      </c>
      <c r="O8" s="235">
        <v>0</v>
      </c>
      <c r="P8" s="235">
        <v>0</v>
      </c>
      <c r="Q8" s="21"/>
      <c r="R8" s="230" t="s">
        <v>333</v>
      </c>
      <c r="S8" s="230" t="s">
        <v>374</v>
      </c>
      <c r="T8" s="230" t="str">
        <f>"
Huile de germe de blé : équilibrée en oméga mais très riche en vitamines du groupe E"</f>
        <v xml:space="preserve">
Huile de germe de blé : équilibrée en oméga mais très riche en vitamines du groupe E</v>
      </c>
      <c r="U8" s="21">
        <v>0</v>
      </c>
      <c r="AA8" s="231"/>
      <c r="AB8" s="231"/>
      <c r="AC8" s="231"/>
    </row>
    <row r="9" spans="1:29" ht="15.05" customHeight="1">
      <c r="A9" s="21" t="s">
        <v>331</v>
      </c>
      <c r="B9" s="21">
        <v>900</v>
      </c>
      <c r="C9" s="21">
        <v>0</v>
      </c>
      <c r="D9" s="21">
        <v>100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18</v>
      </c>
      <c r="M9" s="21">
        <v>37</v>
      </c>
      <c r="N9" s="21">
        <v>0.2</v>
      </c>
      <c r="O9" s="21">
        <v>0</v>
      </c>
      <c r="P9" s="21">
        <v>0</v>
      </c>
      <c r="Q9" s="21"/>
      <c r="R9" s="230" t="s">
        <v>334</v>
      </c>
      <c r="S9" s="230" t="s">
        <v>914</v>
      </c>
      <c r="T9" s="230" t="str">
        <f>"
Huile de bourrache : elle n'apporte que des oméga 6, à alterner avec de l'huile de poisson"</f>
        <v xml:space="preserve">
Huile de bourrache : elle n'apporte que des oméga 6, à alterner avec de l'huile de poisson</v>
      </c>
      <c r="U9" s="21">
        <v>0</v>
      </c>
      <c r="AA9" s="231"/>
      <c r="AB9" s="231" t="s">
        <v>381</v>
      </c>
      <c r="AC9" s="231"/>
    </row>
    <row r="10" spans="1:29" ht="15.05" customHeight="1">
      <c r="A10" s="21" t="s">
        <v>335</v>
      </c>
      <c r="B10" s="21">
        <v>900</v>
      </c>
      <c r="C10" s="21">
        <v>0</v>
      </c>
      <c r="D10" s="21">
        <v>100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24</v>
      </c>
      <c r="N10" s="21">
        <v>5.6</v>
      </c>
      <c r="O10" s="21">
        <v>0</v>
      </c>
      <c r="P10" s="21">
        <v>0</v>
      </c>
      <c r="Q10" s="21"/>
      <c r="R10" s="230" t="s">
        <v>336</v>
      </c>
      <c r="S10" s="230" t="s">
        <v>915</v>
      </c>
      <c r="T10" s="230" t="str">
        <f>"
Huile ISIO 4 : cette huile contient essentiellement des oméga 3 et 6"</f>
        <v xml:space="preserve">
Huile ISIO 4 : cette huile contient essentiellement des oméga 3 et 6</v>
      </c>
      <c r="U10" s="21">
        <v>0</v>
      </c>
      <c r="AA10" s="231"/>
      <c r="AB10" s="231"/>
      <c r="AC10" s="231"/>
    </row>
    <row r="11" spans="1:29" ht="15.05" customHeight="1">
      <c r="A11" s="234" t="s">
        <v>747</v>
      </c>
      <c r="B11" s="21">
        <v>670</v>
      </c>
      <c r="C11" s="21">
        <v>21.2</v>
      </c>
      <c r="D11" s="21">
        <v>70.099999999999994</v>
      </c>
      <c r="E11" s="21">
        <v>0</v>
      </c>
      <c r="F11" s="21">
        <v>0.3</v>
      </c>
      <c r="G11" s="21">
        <v>1.4</v>
      </c>
      <c r="H11" s="21">
        <v>0</v>
      </c>
      <c r="I11" s="21">
        <v>0</v>
      </c>
      <c r="J11" s="21">
        <v>0</v>
      </c>
      <c r="K11" s="21">
        <v>0</v>
      </c>
      <c r="L11" s="21">
        <v>10</v>
      </c>
      <c r="M11" s="21">
        <v>20.73</v>
      </c>
      <c r="N11" s="21">
        <v>7.91</v>
      </c>
      <c r="O11" s="21">
        <v>4.74</v>
      </c>
      <c r="P11" s="21">
        <v>3.17</v>
      </c>
      <c r="Q11" s="21"/>
      <c r="R11" s="230" t="s">
        <v>748</v>
      </c>
      <c r="S11" s="230" t="s">
        <v>749</v>
      </c>
      <c r="T11" s="230" t="str">
        <f>"
Gélule Agepi Omega : idéal pour utiliser avec une viande grasse"</f>
        <v xml:space="preserve">
Gélule Agepi Omega : idéal pour utiliser avec une viande grasse</v>
      </c>
      <c r="U11" s="21">
        <v>5</v>
      </c>
      <c r="AA11" s="231"/>
      <c r="AB11" s="231" t="s">
        <v>382</v>
      </c>
      <c r="AC11" s="231"/>
    </row>
    <row r="12" spans="1:29" ht="15.0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30"/>
      <c r="S12" s="230"/>
      <c r="T12" s="230"/>
      <c r="U12" s="21"/>
      <c r="AA12" s="231"/>
      <c r="AB12" s="231" t="s">
        <v>383</v>
      </c>
      <c r="AC12" s="231"/>
    </row>
    <row r="13" spans="1:29" ht="15.0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30"/>
      <c r="S13" s="230"/>
      <c r="T13" s="230"/>
      <c r="U13" s="21"/>
      <c r="AA13" s="231"/>
      <c r="AB13" s="231" t="s">
        <v>384</v>
      </c>
      <c r="AC13" s="231"/>
    </row>
    <row r="14" spans="1:29" ht="15.0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30"/>
      <c r="S14" s="230"/>
      <c r="T14" s="230"/>
      <c r="U14" s="21"/>
      <c r="AA14" s="231"/>
      <c r="AB14" s="231"/>
      <c r="AC14" s="231"/>
    </row>
    <row r="15" spans="1:29" ht="15.0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30"/>
      <c r="S15" s="230"/>
      <c r="T15" s="230"/>
      <c r="U15" s="21"/>
      <c r="AA15" s="231"/>
      <c r="AB15" s="231" t="s">
        <v>385</v>
      </c>
      <c r="AC15" s="231"/>
    </row>
    <row r="16" spans="1:29" ht="15.05" customHeight="1">
      <c r="AA16" s="231"/>
      <c r="AB16" s="231"/>
      <c r="AC16" s="231"/>
    </row>
    <row r="17" spans="2:29" ht="15.05" customHeight="1">
      <c r="AA17" s="231"/>
      <c r="AB17" s="231"/>
      <c r="AC17" s="231"/>
    </row>
    <row r="18" spans="2:29" ht="15.05" customHeight="1">
      <c r="B18" s="232"/>
      <c r="C18" s="232" t="s">
        <v>816</v>
      </c>
      <c r="F18" s="21" t="s">
        <v>992</v>
      </c>
      <c r="AA18" s="114"/>
      <c r="AB18" s="114"/>
      <c r="AC18" s="114"/>
    </row>
    <row r="19" spans="2:29" ht="15.05" customHeight="1">
      <c r="B19" s="238"/>
      <c r="C19" s="238"/>
      <c r="F19" s="233">
        <v>45457</v>
      </c>
      <c r="AA19" s="114"/>
      <c r="AB19" s="114"/>
      <c r="AC19" s="114"/>
    </row>
    <row r="20" spans="2:29" ht="15.05" customHeight="1">
      <c r="AA20" s="114"/>
      <c r="AB20" s="114"/>
      <c r="AC20" s="114"/>
    </row>
    <row r="21" spans="2:29" ht="15.05" customHeight="1">
      <c r="AA21" s="114"/>
      <c r="AB21" s="114"/>
      <c r="AC21" s="114"/>
    </row>
    <row r="22" spans="2:29" ht="15.05" customHeight="1">
      <c r="AA22" s="114"/>
      <c r="AB22" s="114"/>
      <c r="AC22" s="114"/>
    </row>
    <row r="23" spans="2:29" ht="15.05" customHeight="1">
      <c r="AA23" s="114"/>
      <c r="AB23" s="114"/>
      <c r="AC23" s="114"/>
    </row>
    <row r="24" spans="2:29" ht="15.05" customHeight="1">
      <c r="AA24" s="114"/>
      <c r="AB24" s="114"/>
      <c r="AC24" s="114"/>
    </row>
    <row r="25" spans="2:29" ht="15.05" customHeight="1">
      <c r="AA25" s="114"/>
      <c r="AB25" s="114"/>
      <c r="AC25" s="114"/>
    </row>
    <row r="26" spans="2:29" ht="15.05" customHeight="1">
      <c r="AA26" s="114"/>
      <c r="AB26" s="114"/>
      <c r="AC26" s="114"/>
    </row>
    <row r="27" spans="2:29" ht="15.05" customHeight="1">
      <c r="AA27" s="114"/>
      <c r="AB27" s="114"/>
      <c r="AC27" s="114"/>
    </row>
    <row r="28" spans="2:29" ht="15.05" customHeight="1">
      <c r="AA28" s="114"/>
      <c r="AB28" s="114"/>
      <c r="AC28" s="114"/>
    </row>
    <row r="29" spans="2:29" ht="15.05" customHeight="1">
      <c r="AA29" s="114"/>
      <c r="AB29" s="114"/>
      <c r="AC29" s="114"/>
    </row>
    <row r="30" spans="2:29" ht="15.05" customHeight="1">
      <c r="AA30" s="114"/>
      <c r="AB30" s="114"/>
      <c r="AC30" s="114"/>
    </row>
    <row r="31" spans="2:29" ht="15.05" customHeight="1">
      <c r="AA31" s="114"/>
      <c r="AB31" s="114"/>
      <c r="AC31" s="114"/>
    </row>
    <row r="32" spans="2:29" ht="15.05" customHeight="1">
      <c r="AA32" s="114"/>
      <c r="AB32" s="114"/>
      <c r="AC32" s="114"/>
    </row>
    <row r="33" spans="27:29" ht="15.05" customHeight="1">
      <c r="AA33" s="114"/>
      <c r="AB33" s="114"/>
      <c r="AC33" s="114"/>
    </row>
    <row r="34" spans="27:29" ht="15.05" customHeight="1">
      <c r="AA34" s="114"/>
      <c r="AB34" s="114"/>
      <c r="AC34" s="114"/>
    </row>
    <row r="35" spans="27:29" ht="15.05" customHeight="1">
      <c r="AA35" s="114"/>
      <c r="AB35" s="114"/>
      <c r="AC35" s="114"/>
    </row>
    <row r="36" spans="27:29" ht="15.05" customHeight="1"/>
    <row r="37" spans="27:29" ht="15.05" customHeight="1"/>
    <row r="38" spans="27:29" ht="15.05" customHeight="1"/>
    <row r="39" spans="27:29" ht="15.05" customHeight="1"/>
    <row r="40" spans="27:29" ht="15.05" customHeight="1"/>
    <row r="41" spans="27:29" ht="15.05" customHeight="1"/>
    <row r="42" spans="27:29" ht="15.05" customHeight="1"/>
  </sheetData>
  <sheetProtection algorithmName="SHA-512" hashValue="+T3jheWlHbKBX1e0Z6QjpXAxotIRfb/pwtuChjwLJ50bV0uR4NQvqhK0gwdAMwujKBVdtiyPuR/XocCYNBrx8Q==" saltValue="NWEFZHKj9O076qRyKUP9pw==" spinCount="100000" sheet="1" objects="1" scenarios="1" selectLockedCells="1" selectUnlockedCells="1"/>
  <mergeCells count="2">
    <mergeCell ref="B18:B19"/>
    <mergeCell ref="C18:C19"/>
  </mergeCells>
  <pageMargins left="0.7" right="0.7" top="0.75" bottom="0.75" header="0.3" footer="0.3"/>
  <pageSetup paperSize="9" orientation="portrait" r:id="rId1"/>
  <ignoredErrors>
    <ignoredError sqref="A15:P17 A20:P26 A18:E19 G19:P19 H18:P18 A2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F52A7-971C-4B8C-90CC-A7D2FE82514F}">
  <dimension ref="A1:AC40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6" width="11.5546875" style="228"/>
    <col min="7" max="7" width="11.5546875" style="228" customWidth="1"/>
    <col min="8" max="17" width="11.5546875" style="228"/>
    <col min="18" max="18" width="30.6640625" style="228" customWidth="1"/>
    <col min="19" max="19" width="40.6640625" style="228" customWidth="1"/>
    <col min="20" max="20" width="60.6640625" style="228" customWidth="1"/>
    <col min="21" max="21" width="21.6640625" style="228" customWidth="1"/>
    <col min="22" max="16384" width="11.5546875" style="228"/>
  </cols>
  <sheetData>
    <row r="1" spans="1:29" ht="18.350000000000001">
      <c r="A1" s="21" t="s">
        <v>0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394</v>
      </c>
      <c r="S1" s="21" t="s">
        <v>396</v>
      </c>
      <c r="T1" s="21" t="s">
        <v>395</v>
      </c>
      <c r="U1" s="21" t="s">
        <v>406</v>
      </c>
      <c r="AA1" s="229"/>
      <c r="AB1" s="229"/>
      <c r="AC1" s="229"/>
    </row>
    <row r="2" spans="1:29" ht="15.05" customHeight="1">
      <c r="A2" s="21" t="s">
        <v>532</v>
      </c>
      <c r="B2" s="235">
        <v>33.799999999999997</v>
      </c>
      <c r="C2" s="235">
        <v>1.31</v>
      </c>
      <c r="D2" s="235">
        <v>0.3</v>
      </c>
      <c r="E2" s="235">
        <v>3.83</v>
      </c>
      <c r="F2" s="235">
        <v>0.65</v>
      </c>
      <c r="G2" s="235">
        <v>1.9</v>
      </c>
      <c r="H2" s="235">
        <v>13</v>
      </c>
      <c r="I2" s="235">
        <v>31</v>
      </c>
      <c r="J2" s="235">
        <v>1.2999999999999999E-2</v>
      </c>
      <c r="K2" s="21">
        <v>0.35</v>
      </c>
      <c r="L2" s="235">
        <v>0.01</v>
      </c>
      <c r="M2" s="21">
        <v>0.02</v>
      </c>
      <c r="N2" s="21">
        <v>0.03</v>
      </c>
      <c r="O2" s="21">
        <v>0.01</v>
      </c>
      <c r="P2" s="21">
        <v>0.01</v>
      </c>
      <c r="Q2" s="21"/>
      <c r="R2" s="230" t="s">
        <v>411</v>
      </c>
      <c r="S2" s="230" t="s">
        <v>365</v>
      </c>
      <c r="T2" s="230"/>
      <c r="U2" s="21">
        <v>0</v>
      </c>
      <c r="AA2" s="229"/>
      <c r="AB2" s="229"/>
      <c r="AC2" s="229"/>
    </row>
    <row r="3" spans="1:29" ht="15.05" customHeight="1">
      <c r="A3" s="21" t="s">
        <v>533</v>
      </c>
      <c r="B3" s="235">
        <v>23.1</v>
      </c>
      <c r="C3" s="235">
        <v>2.19</v>
      </c>
      <c r="D3" s="235">
        <v>0.5</v>
      </c>
      <c r="E3" s="235">
        <v>1.03</v>
      </c>
      <c r="F3" s="235">
        <v>0.41</v>
      </c>
      <c r="G3" s="235">
        <v>3</v>
      </c>
      <c r="H3" s="235">
        <v>43</v>
      </c>
      <c r="I3" s="235">
        <v>39</v>
      </c>
      <c r="J3" s="235">
        <v>3.3000000000000002E-2</v>
      </c>
      <c r="K3" s="21">
        <v>0.35</v>
      </c>
      <c r="L3" s="235">
        <v>0.12</v>
      </c>
      <c r="M3" s="21">
        <v>6.9999999999999993E-2</v>
      </c>
      <c r="N3" s="21">
        <v>0.14000000000000001</v>
      </c>
      <c r="O3" s="21">
        <v>0.01</v>
      </c>
      <c r="P3" s="21">
        <v>0.01</v>
      </c>
      <c r="Q3" s="21"/>
      <c r="R3" s="230" t="s">
        <v>413</v>
      </c>
      <c r="S3" s="230" t="s">
        <v>366</v>
      </c>
      <c r="T3" s="230"/>
      <c r="U3" s="21">
        <v>0</v>
      </c>
      <c r="AA3" s="229"/>
      <c r="AB3" s="229"/>
      <c r="AC3" s="229"/>
    </row>
    <row r="4" spans="1:29" ht="15.05" customHeight="1">
      <c r="A4" s="21" t="s">
        <v>534</v>
      </c>
      <c r="B4" s="235">
        <v>40.200000000000003</v>
      </c>
      <c r="C4" s="235">
        <v>0.63</v>
      </c>
      <c r="D4" s="235">
        <v>0.5</v>
      </c>
      <c r="E4" s="235">
        <v>7.59</v>
      </c>
      <c r="F4" s="235">
        <v>0.72</v>
      </c>
      <c r="G4" s="235">
        <v>2.7</v>
      </c>
      <c r="H4" s="235">
        <v>25</v>
      </c>
      <c r="I4" s="235">
        <v>22</v>
      </c>
      <c r="J4" s="235">
        <v>0.11</v>
      </c>
      <c r="K4" s="235">
        <v>0.4</v>
      </c>
      <c r="L4" s="235">
        <v>0.01</v>
      </c>
      <c r="M4" s="21">
        <v>0.02</v>
      </c>
      <c r="N4" s="21">
        <v>0.03</v>
      </c>
      <c r="O4" s="21">
        <v>0.01</v>
      </c>
      <c r="P4" s="21">
        <v>0.01</v>
      </c>
      <c r="Q4" s="21"/>
      <c r="R4" s="230" t="s">
        <v>527</v>
      </c>
      <c r="S4" s="230" t="s">
        <v>526</v>
      </c>
      <c r="T4" s="230" t="str">
        <f>"
Carotte : à éviter si votre chien est diabétique"</f>
        <v xml:space="preserve">
Carotte : à éviter si votre chien est diabétique</v>
      </c>
      <c r="U4" s="21">
        <v>0</v>
      </c>
      <c r="AA4" s="229"/>
      <c r="AB4" s="229"/>
      <c r="AC4" s="229"/>
    </row>
    <row r="5" spans="1:29" ht="15.05" customHeight="1">
      <c r="A5" s="21" t="s">
        <v>535</v>
      </c>
      <c r="B5" s="235">
        <v>31.6</v>
      </c>
      <c r="C5" s="235">
        <v>0.55000000000000004</v>
      </c>
      <c r="D5" s="235">
        <v>0.1</v>
      </c>
      <c r="E5" s="235">
        <v>2.6</v>
      </c>
      <c r="F5" s="235">
        <v>0.85</v>
      </c>
      <c r="G5" s="235">
        <v>2.8</v>
      </c>
      <c r="H5" s="235">
        <v>31.5</v>
      </c>
      <c r="I5" s="235">
        <v>18</v>
      </c>
      <c r="J5" s="235">
        <v>5.0999999999999997E-2</v>
      </c>
      <c r="K5" s="21">
        <v>0.5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/>
      <c r="R5" s="230" t="s">
        <v>414</v>
      </c>
      <c r="S5" s="230" t="s">
        <v>366</v>
      </c>
      <c r="T5" s="230" t="str">
        <f>"
Carotte : à éviter si votre chien est diabétique"</f>
        <v xml:space="preserve">
Carotte : à éviter si votre chien est diabétique</v>
      </c>
      <c r="U5" s="21">
        <v>0</v>
      </c>
      <c r="AA5" s="231"/>
      <c r="AB5" s="231"/>
      <c r="AC5" s="231"/>
    </row>
    <row r="6" spans="1:29" ht="15.05" customHeight="1">
      <c r="A6" s="21" t="s">
        <v>536</v>
      </c>
      <c r="B6" s="21">
        <v>12.1</v>
      </c>
      <c r="C6" s="235">
        <v>0.83</v>
      </c>
      <c r="D6" s="235">
        <v>0.16</v>
      </c>
      <c r="E6" s="235">
        <v>1.2</v>
      </c>
      <c r="F6" s="235">
        <v>0.9</v>
      </c>
      <c r="G6" s="235">
        <v>1.6</v>
      </c>
      <c r="H6" s="235">
        <v>53.3</v>
      </c>
      <c r="I6" s="235">
        <v>25</v>
      </c>
      <c r="J6" s="235">
        <v>0.23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/>
      <c r="R6" s="230" t="s">
        <v>415</v>
      </c>
      <c r="S6" s="230" t="s">
        <v>366</v>
      </c>
      <c r="T6" s="230"/>
      <c r="U6" s="21">
        <v>0</v>
      </c>
      <c r="AA6" s="231"/>
      <c r="AB6" s="231"/>
      <c r="AC6" s="231"/>
    </row>
    <row r="7" spans="1:29" ht="15.05" customHeight="1">
      <c r="A7" s="21" t="s">
        <v>1115</v>
      </c>
      <c r="B7" s="235">
        <v>26.2</v>
      </c>
      <c r="C7" s="235">
        <v>0.94</v>
      </c>
      <c r="D7" s="235">
        <v>0.3</v>
      </c>
      <c r="E7" s="235">
        <v>4.32</v>
      </c>
      <c r="F7" s="235">
        <v>0.78</v>
      </c>
      <c r="G7" s="235">
        <v>2.6</v>
      </c>
      <c r="H7" s="235">
        <v>41</v>
      </c>
      <c r="I7" s="235">
        <v>38</v>
      </c>
      <c r="J7" s="235">
        <v>9.2999999999999999E-2</v>
      </c>
      <c r="K7" s="21">
        <v>0.35</v>
      </c>
      <c r="L7" s="235">
        <v>0.05</v>
      </c>
      <c r="M7" s="21">
        <v>0.11</v>
      </c>
      <c r="N7" s="21">
        <v>0.03</v>
      </c>
      <c r="O7" s="21">
        <v>0.01</v>
      </c>
      <c r="P7" s="21">
        <v>0.01</v>
      </c>
      <c r="Q7" s="21"/>
      <c r="R7" s="230" t="s">
        <v>469</v>
      </c>
      <c r="S7" s="230" t="s">
        <v>366</v>
      </c>
      <c r="T7" s="230"/>
      <c r="U7" s="21">
        <v>0</v>
      </c>
      <c r="AA7" s="231"/>
      <c r="AB7" s="231" t="s">
        <v>380</v>
      </c>
      <c r="AC7" s="231"/>
    </row>
    <row r="8" spans="1:29" ht="15.05" customHeight="1">
      <c r="A8" s="21" t="s">
        <v>537</v>
      </c>
      <c r="B8" s="235">
        <v>29.9</v>
      </c>
      <c r="C8" s="235">
        <v>1</v>
      </c>
      <c r="D8" s="235">
        <v>0.1</v>
      </c>
      <c r="E8" s="235">
        <v>6</v>
      </c>
      <c r="F8" s="235">
        <v>0.8</v>
      </c>
      <c r="G8" s="235">
        <v>0.5</v>
      </c>
      <c r="H8" s="235">
        <v>21</v>
      </c>
      <c r="I8" s="235">
        <v>44</v>
      </c>
      <c r="J8" s="235">
        <v>2.5000000000000001E-3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/>
      <c r="R8" s="230" t="s">
        <v>416</v>
      </c>
      <c r="S8" s="230" t="s">
        <v>366</v>
      </c>
      <c r="T8" s="230"/>
      <c r="U8" s="21">
        <v>0</v>
      </c>
      <c r="AA8" s="231"/>
      <c r="AB8" s="231"/>
      <c r="AC8" s="231"/>
    </row>
    <row r="9" spans="1:29" ht="15.05" customHeight="1">
      <c r="A9" s="21" t="s">
        <v>826</v>
      </c>
      <c r="B9" s="21">
        <v>40</v>
      </c>
      <c r="C9" s="21">
        <v>0.9</v>
      </c>
      <c r="D9" s="21">
        <v>0.1</v>
      </c>
      <c r="E9" s="21">
        <v>10.5</v>
      </c>
      <c r="F9" s="21">
        <v>0.6</v>
      </c>
      <c r="G9" s="21">
        <v>3.2</v>
      </c>
      <c r="H9" s="21">
        <v>41</v>
      </c>
      <c r="I9" s="21">
        <v>27</v>
      </c>
      <c r="J9" s="21">
        <v>1E-3</v>
      </c>
      <c r="K9" s="21">
        <v>8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/>
      <c r="R9" s="230" t="s">
        <v>828</v>
      </c>
      <c r="S9" s="230" t="s">
        <v>367</v>
      </c>
      <c r="T9" s="230"/>
      <c r="U9" s="21">
        <v>0</v>
      </c>
      <c r="AA9" s="231"/>
      <c r="AB9" s="231" t="s">
        <v>381</v>
      </c>
      <c r="AC9" s="231"/>
    </row>
    <row r="10" spans="1:29" ht="15.05" customHeight="1">
      <c r="A10" s="21" t="s">
        <v>538</v>
      </c>
      <c r="B10" s="235">
        <v>30.7</v>
      </c>
      <c r="C10" s="235">
        <v>1.06</v>
      </c>
      <c r="D10" s="235">
        <v>0.5</v>
      </c>
      <c r="E10" s="235">
        <v>5.24</v>
      </c>
      <c r="F10" s="235">
        <v>0.73</v>
      </c>
      <c r="G10" s="235">
        <v>1.8</v>
      </c>
      <c r="H10" s="235">
        <v>17</v>
      </c>
      <c r="I10" s="235">
        <v>17</v>
      </c>
      <c r="J10" s="21">
        <v>1.2999999999999999E-2</v>
      </c>
      <c r="K10" s="235">
        <v>0.4</v>
      </c>
      <c r="L10" s="235">
        <v>0.01</v>
      </c>
      <c r="M10" s="21">
        <v>0.02</v>
      </c>
      <c r="N10" s="21">
        <v>0.03</v>
      </c>
      <c r="O10" s="21">
        <v>0.01</v>
      </c>
      <c r="P10" s="21">
        <v>0.01</v>
      </c>
      <c r="Q10" s="21"/>
      <c r="R10" s="230" t="s">
        <v>827</v>
      </c>
      <c r="S10" s="230" t="s">
        <v>367</v>
      </c>
      <c r="T10" s="230"/>
      <c r="U10" s="21">
        <v>0</v>
      </c>
      <c r="AA10" s="231"/>
      <c r="AB10" s="231"/>
      <c r="AC10" s="231"/>
    </row>
    <row r="11" spans="1:29" ht="15.05" customHeight="1">
      <c r="A11" s="21" t="s">
        <v>539</v>
      </c>
      <c r="B11" s="235">
        <v>28</v>
      </c>
      <c r="C11" s="235">
        <v>0.66</v>
      </c>
      <c r="D11" s="235">
        <v>0.26</v>
      </c>
      <c r="E11" s="235">
        <v>5.0599999999999996</v>
      </c>
      <c r="F11" s="235">
        <v>0.32</v>
      </c>
      <c r="G11" s="235">
        <v>1.4</v>
      </c>
      <c r="H11" s="235">
        <v>21</v>
      </c>
      <c r="I11" s="235">
        <v>14</v>
      </c>
      <c r="J11" s="235">
        <v>4.4999999999999998E-2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/>
      <c r="R11" s="230" t="s">
        <v>417</v>
      </c>
      <c r="S11" s="230" t="s">
        <v>367</v>
      </c>
      <c r="T11" s="230"/>
      <c r="U11" s="21">
        <v>0</v>
      </c>
      <c r="AA11" s="231"/>
      <c r="AB11" s="231" t="s">
        <v>382</v>
      </c>
      <c r="AC11" s="231"/>
    </row>
    <row r="12" spans="1:29" ht="15.05" customHeight="1">
      <c r="A12" s="21" t="s">
        <v>540</v>
      </c>
      <c r="B12" s="235">
        <v>16.5</v>
      </c>
      <c r="C12" s="235">
        <v>1.23</v>
      </c>
      <c r="D12" s="235">
        <v>0.26</v>
      </c>
      <c r="E12" s="235">
        <v>1.8</v>
      </c>
      <c r="F12" s="235">
        <v>0.59</v>
      </c>
      <c r="G12" s="235">
        <v>1.05</v>
      </c>
      <c r="H12" s="235">
        <v>18.7</v>
      </c>
      <c r="I12" s="235">
        <v>44.7</v>
      </c>
      <c r="J12" s="235">
        <v>2.3E-2</v>
      </c>
      <c r="K12" s="235">
        <v>0</v>
      </c>
      <c r="L12" s="235">
        <v>0.01</v>
      </c>
      <c r="M12" s="21">
        <v>0.03</v>
      </c>
      <c r="N12" s="21">
        <v>5.5E-2</v>
      </c>
      <c r="O12" s="235">
        <v>0</v>
      </c>
      <c r="P12" s="235">
        <v>0</v>
      </c>
      <c r="Q12" s="21"/>
      <c r="R12" s="230" t="s">
        <v>528</v>
      </c>
      <c r="S12" s="230" t="s">
        <v>529</v>
      </c>
      <c r="T12" s="230"/>
      <c r="U12" s="21">
        <v>0</v>
      </c>
      <c r="AA12" s="231"/>
      <c r="AB12" s="231" t="s">
        <v>383</v>
      </c>
      <c r="AC12" s="231"/>
    </row>
    <row r="13" spans="1:29" ht="15.05" customHeight="1">
      <c r="A13" s="21" t="s">
        <v>541</v>
      </c>
      <c r="B13" s="235">
        <v>15.5</v>
      </c>
      <c r="C13" s="235">
        <v>0.93</v>
      </c>
      <c r="D13" s="235">
        <v>0.36</v>
      </c>
      <c r="E13" s="235">
        <v>1.4</v>
      </c>
      <c r="F13" s="235">
        <v>0.7</v>
      </c>
      <c r="G13" s="235">
        <v>1.5</v>
      </c>
      <c r="H13" s="235">
        <v>19.3</v>
      </c>
      <c r="I13" s="235">
        <v>65</v>
      </c>
      <c r="J13" s="235">
        <v>9.8000000000000004E-2</v>
      </c>
      <c r="K13" s="21">
        <v>0.5</v>
      </c>
      <c r="L13" s="235">
        <v>4.5999999999999999E-3</v>
      </c>
      <c r="M13" s="21">
        <v>4.1000000000000002E-2</v>
      </c>
      <c r="N13" s="21">
        <v>0.11</v>
      </c>
      <c r="O13" s="235">
        <v>0</v>
      </c>
      <c r="P13" s="235">
        <v>0</v>
      </c>
      <c r="Q13" s="21"/>
      <c r="R13" s="230" t="s">
        <v>418</v>
      </c>
      <c r="S13" s="230" t="s">
        <v>366</v>
      </c>
      <c r="T13" s="230"/>
      <c r="U13" s="21">
        <v>0</v>
      </c>
      <c r="AA13" s="231"/>
      <c r="AB13" s="231" t="s">
        <v>384</v>
      </c>
      <c r="AC13" s="231"/>
    </row>
    <row r="14" spans="1:29" ht="15.05" customHeight="1">
      <c r="A14" s="21" t="s">
        <v>542</v>
      </c>
      <c r="B14" s="235">
        <v>14.7</v>
      </c>
      <c r="C14" s="235">
        <v>0.56000000000000005</v>
      </c>
      <c r="D14" s="235">
        <v>0.5</v>
      </c>
      <c r="E14" s="235">
        <v>2.23</v>
      </c>
      <c r="F14" s="235">
        <v>0.41</v>
      </c>
      <c r="G14" s="235">
        <v>0.8</v>
      </c>
      <c r="H14" s="235">
        <v>16</v>
      </c>
      <c r="I14" s="235">
        <v>25</v>
      </c>
      <c r="J14" s="235">
        <v>1.2999999999999999E-2</v>
      </c>
      <c r="K14" s="235">
        <v>0.35</v>
      </c>
      <c r="L14" s="235">
        <v>0.01</v>
      </c>
      <c r="M14" s="21">
        <v>0.02</v>
      </c>
      <c r="N14" s="21">
        <v>0.03</v>
      </c>
      <c r="O14" s="21">
        <v>0.01</v>
      </c>
      <c r="P14" s="21">
        <v>0.01</v>
      </c>
      <c r="Q14" s="21"/>
      <c r="R14" s="230" t="s">
        <v>530</v>
      </c>
      <c r="S14" s="230" t="s">
        <v>529</v>
      </c>
      <c r="T14" s="230"/>
      <c r="U14" s="21">
        <v>0</v>
      </c>
      <c r="AA14" s="231"/>
      <c r="AB14" s="231"/>
      <c r="AC14" s="231"/>
    </row>
    <row r="15" spans="1:29" ht="15.05" customHeight="1">
      <c r="A15" s="21" t="s">
        <v>543</v>
      </c>
      <c r="B15" s="235">
        <v>23.5</v>
      </c>
      <c r="C15" s="235">
        <v>1.1299999999999999</v>
      </c>
      <c r="D15" s="235">
        <v>0.3</v>
      </c>
      <c r="E15" s="235">
        <v>4.38</v>
      </c>
      <c r="F15" s="235">
        <v>0.39</v>
      </c>
      <c r="G15" s="235">
        <v>0.5</v>
      </c>
      <c r="H15" s="235">
        <v>27</v>
      </c>
      <c r="I15" s="235">
        <v>27</v>
      </c>
      <c r="J15" s="235">
        <v>1.2999999999999999E-2</v>
      </c>
      <c r="K15" s="21">
        <v>0.35</v>
      </c>
      <c r="L15" s="235">
        <v>0.01</v>
      </c>
      <c r="M15" s="21">
        <v>0.02</v>
      </c>
      <c r="N15" s="21">
        <v>0.03</v>
      </c>
      <c r="O15" s="21">
        <v>0.01</v>
      </c>
      <c r="P15" s="21">
        <v>0.01</v>
      </c>
      <c r="Q15" s="21"/>
      <c r="R15" s="230" t="s">
        <v>412</v>
      </c>
      <c r="S15" s="230" t="s">
        <v>367</v>
      </c>
      <c r="T15" s="230" t="str">
        <f>"
Endive : ne convient pas aux chiens insuffisants rénaux"</f>
        <v xml:space="preserve">
Endive : ne convient pas aux chiens insuffisants rénaux</v>
      </c>
      <c r="U15" s="21">
        <v>0</v>
      </c>
      <c r="AA15" s="231"/>
      <c r="AB15" s="231" t="s">
        <v>385</v>
      </c>
      <c r="AC15" s="231"/>
    </row>
    <row r="16" spans="1:29" ht="15.05" customHeight="1">
      <c r="A16" s="21" t="s">
        <v>831</v>
      </c>
      <c r="B16" s="235">
        <v>13.7</v>
      </c>
      <c r="C16" s="235">
        <v>0.5</v>
      </c>
      <c r="D16" s="21">
        <v>0.3</v>
      </c>
      <c r="E16" s="235">
        <v>1.94</v>
      </c>
      <c r="F16" s="235">
        <v>0.63</v>
      </c>
      <c r="G16" s="235">
        <v>1.8</v>
      </c>
      <c r="H16" s="235">
        <v>37</v>
      </c>
      <c r="I16" s="235">
        <v>16</v>
      </c>
      <c r="J16" s="235">
        <v>2.8000000000000001E-2</v>
      </c>
      <c r="K16" s="235">
        <v>0.35</v>
      </c>
      <c r="L16" s="21">
        <v>0.01</v>
      </c>
      <c r="M16" s="21">
        <v>0.02</v>
      </c>
      <c r="N16" s="21">
        <v>0.03</v>
      </c>
      <c r="O16" s="21">
        <v>0.01</v>
      </c>
      <c r="P16" s="21">
        <v>0.01</v>
      </c>
      <c r="Q16" s="21"/>
      <c r="R16" s="230" t="s">
        <v>832</v>
      </c>
      <c r="S16" s="230" t="s">
        <v>366</v>
      </c>
      <c r="T16" s="230"/>
      <c r="U16" s="21">
        <v>0</v>
      </c>
      <c r="AA16" s="231"/>
      <c r="AB16" s="231"/>
      <c r="AC16" s="231"/>
    </row>
    <row r="17" spans="1:29" ht="15.05" customHeight="1">
      <c r="A17" s="21" t="s">
        <v>544</v>
      </c>
      <c r="B17" s="235">
        <v>29.4</v>
      </c>
      <c r="C17" s="235">
        <v>2</v>
      </c>
      <c r="D17" s="235">
        <v>0.17</v>
      </c>
      <c r="E17" s="235">
        <v>3</v>
      </c>
      <c r="F17" s="235">
        <v>0.69</v>
      </c>
      <c r="G17" s="235">
        <v>4</v>
      </c>
      <c r="H17" s="235">
        <v>55.3</v>
      </c>
      <c r="I17" s="235">
        <v>36</v>
      </c>
      <c r="J17" s="235">
        <v>0.4</v>
      </c>
      <c r="K17" s="235">
        <v>1.94</v>
      </c>
      <c r="L17" s="235">
        <v>7.1999999999999998E-3</v>
      </c>
      <c r="M17" s="21">
        <v>0.04</v>
      </c>
      <c r="N17" s="21">
        <v>4.7E-2</v>
      </c>
      <c r="O17" s="235">
        <v>0</v>
      </c>
      <c r="P17" s="235">
        <v>0</v>
      </c>
      <c r="Q17" s="21"/>
      <c r="R17" s="230" t="s">
        <v>419</v>
      </c>
      <c r="S17" s="230" t="s">
        <v>366</v>
      </c>
      <c r="T17" s="230"/>
      <c r="U17" s="21">
        <v>0</v>
      </c>
      <c r="AA17" s="231"/>
      <c r="AB17" s="231"/>
      <c r="AC17" s="231"/>
    </row>
    <row r="18" spans="1:29" ht="15.05" customHeight="1">
      <c r="A18" s="21" t="s">
        <v>545</v>
      </c>
      <c r="B18" s="235">
        <v>36.299999999999997</v>
      </c>
      <c r="C18" s="235">
        <v>1.95</v>
      </c>
      <c r="D18" s="235">
        <v>0.19</v>
      </c>
      <c r="E18" s="235">
        <v>5.0999999999999996</v>
      </c>
      <c r="F18" s="235">
        <v>0.47</v>
      </c>
      <c r="G18" s="235">
        <v>3.3</v>
      </c>
      <c r="H18" s="235">
        <v>51</v>
      </c>
      <c r="I18" s="235">
        <v>29</v>
      </c>
      <c r="J18" s="235">
        <v>3.8E-3</v>
      </c>
      <c r="K18" s="235">
        <v>3.61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/>
      <c r="R18" s="230" t="s">
        <v>420</v>
      </c>
      <c r="S18" s="230" t="s">
        <v>366</v>
      </c>
      <c r="T18" s="230"/>
      <c r="U18" s="21">
        <v>0</v>
      </c>
      <c r="AA18" s="114"/>
      <c r="AB18" s="114"/>
      <c r="AC18" s="114"/>
    </row>
    <row r="19" spans="1:29" ht="15.05" customHeight="1">
      <c r="A19" s="21" t="s">
        <v>546</v>
      </c>
      <c r="B19" s="235">
        <v>23.1</v>
      </c>
      <c r="C19" s="235">
        <v>1.33</v>
      </c>
      <c r="D19" s="235">
        <v>0.31</v>
      </c>
      <c r="E19" s="235">
        <v>2.0699999999999998</v>
      </c>
      <c r="F19" s="235">
        <v>1.04</v>
      </c>
      <c r="G19" s="235">
        <v>3.36</v>
      </c>
      <c r="H19" s="235">
        <v>42.7</v>
      </c>
      <c r="I19" s="235">
        <v>25.3</v>
      </c>
      <c r="J19" s="235">
        <v>0.68</v>
      </c>
      <c r="K19" s="235">
        <v>1</v>
      </c>
      <c r="L19" s="235">
        <v>8.9999999999999993E-3</v>
      </c>
      <c r="M19" s="21">
        <v>6.5000000000000002E-2</v>
      </c>
      <c r="N19" s="21">
        <v>7.6999999999999999E-2</v>
      </c>
      <c r="O19" s="21">
        <v>0</v>
      </c>
      <c r="P19" s="21">
        <v>0</v>
      </c>
      <c r="Q19" s="21"/>
      <c r="R19" s="230" t="s">
        <v>421</v>
      </c>
      <c r="S19" s="230" t="s">
        <v>368</v>
      </c>
      <c r="T19" s="230"/>
      <c r="U19" s="21">
        <v>0</v>
      </c>
      <c r="AA19" s="114"/>
      <c r="AB19" s="114"/>
      <c r="AC19" s="114"/>
    </row>
    <row r="20" spans="1:29" ht="15.05" customHeight="1">
      <c r="A20" s="21" t="s">
        <v>549</v>
      </c>
      <c r="B20" s="235">
        <v>16.8</v>
      </c>
      <c r="C20" s="235">
        <v>2</v>
      </c>
      <c r="D20" s="235">
        <v>0.5</v>
      </c>
      <c r="E20" s="235">
        <v>0.5</v>
      </c>
      <c r="F20" s="235">
        <v>1.1200000000000001</v>
      </c>
      <c r="G20" s="235">
        <v>2.2999999999999998</v>
      </c>
      <c r="H20" s="235">
        <v>41</v>
      </c>
      <c r="I20" s="235">
        <v>30</v>
      </c>
      <c r="J20" s="235">
        <v>1.2999999999999999E-2</v>
      </c>
      <c r="K20" s="21">
        <v>0.35</v>
      </c>
      <c r="L20" s="21">
        <v>0.01</v>
      </c>
      <c r="M20" s="21">
        <v>0.02</v>
      </c>
      <c r="N20" s="21">
        <v>0.03</v>
      </c>
      <c r="O20" s="21">
        <v>0.01</v>
      </c>
      <c r="P20" s="21">
        <v>0.01</v>
      </c>
      <c r="Q20" s="21"/>
      <c r="R20" s="230" t="s">
        <v>531</v>
      </c>
      <c r="S20" s="230" t="s">
        <v>526</v>
      </c>
      <c r="T20" s="230"/>
      <c r="U20" s="21">
        <v>0</v>
      </c>
      <c r="AA20" s="114"/>
      <c r="AB20" s="114"/>
      <c r="AC20" s="114"/>
    </row>
    <row r="21" spans="1:29" ht="15.05" customHeight="1">
      <c r="A21" s="21" t="s">
        <v>550</v>
      </c>
      <c r="B21" s="235">
        <v>49</v>
      </c>
      <c r="C21" s="235">
        <v>2.5099999999999998</v>
      </c>
      <c r="D21" s="235">
        <v>0.33</v>
      </c>
      <c r="E21" s="235">
        <v>7.39</v>
      </c>
      <c r="F21" s="235">
        <v>0.95</v>
      </c>
      <c r="G21" s="235">
        <v>3.27</v>
      </c>
      <c r="H21" s="235">
        <v>23</v>
      </c>
      <c r="I21" s="235">
        <v>46</v>
      </c>
      <c r="J21" s="235">
        <v>0.61</v>
      </c>
      <c r="K21" s="235">
        <v>3.5</v>
      </c>
      <c r="L21" s="235">
        <v>0.01</v>
      </c>
      <c r="M21" s="21">
        <v>0.02</v>
      </c>
      <c r="N21" s="21">
        <v>0.03</v>
      </c>
      <c r="O21" s="21">
        <v>0.01</v>
      </c>
      <c r="P21" s="21">
        <v>0.01</v>
      </c>
      <c r="Q21" s="21"/>
      <c r="R21" s="230" t="s">
        <v>422</v>
      </c>
      <c r="S21" s="230" t="s">
        <v>369</v>
      </c>
      <c r="T21" s="230"/>
      <c r="U21" s="21">
        <v>0</v>
      </c>
      <c r="AA21" s="114"/>
      <c r="AB21" s="114"/>
      <c r="AC21" s="114"/>
    </row>
    <row r="22" spans="1:29" ht="15.05" customHeight="1">
      <c r="A22" s="21" t="s">
        <v>547</v>
      </c>
      <c r="B22" s="235">
        <v>27</v>
      </c>
      <c r="C22" s="235">
        <v>0.81</v>
      </c>
      <c r="D22" s="235">
        <v>7.0000000000000007E-2</v>
      </c>
      <c r="E22" s="235">
        <v>4.5</v>
      </c>
      <c r="F22" s="235">
        <v>0.54</v>
      </c>
      <c r="G22" s="235">
        <v>2</v>
      </c>
      <c r="H22" s="235">
        <v>13</v>
      </c>
      <c r="I22" s="235">
        <v>21</v>
      </c>
      <c r="J22" s="235">
        <v>0.01</v>
      </c>
      <c r="K22" s="235">
        <v>0.6</v>
      </c>
      <c r="L22" s="21">
        <v>0.01</v>
      </c>
      <c r="M22" s="21">
        <v>0.02</v>
      </c>
      <c r="N22" s="21">
        <v>0.03</v>
      </c>
      <c r="O22" s="21">
        <v>0.01</v>
      </c>
      <c r="P22" s="21">
        <v>0.01</v>
      </c>
      <c r="Q22" s="21"/>
      <c r="R22" s="230" t="s">
        <v>471</v>
      </c>
      <c r="S22" s="230" t="s">
        <v>367</v>
      </c>
      <c r="T22" s="230"/>
      <c r="U22" s="21">
        <v>0</v>
      </c>
      <c r="AA22" s="114"/>
      <c r="AB22" s="114"/>
      <c r="AC22" s="114"/>
    </row>
    <row r="23" spans="1:29" ht="15.05" customHeight="1">
      <c r="A23" s="21" t="s">
        <v>1008</v>
      </c>
      <c r="B23" s="235">
        <v>38.200000000000003</v>
      </c>
      <c r="C23" s="235">
        <v>1.06</v>
      </c>
      <c r="D23" s="235">
        <v>0.3</v>
      </c>
      <c r="E23" s="235">
        <v>6.88</v>
      </c>
      <c r="F23" s="235">
        <v>0.87</v>
      </c>
      <c r="G23" s="235">
        <v>1.8</v>
      </c>
      <c r="H23" s="235">
        <v>18</v>
      </c>
      <c r="I23" s="235">
        <v>27</v>
      </c>
      <c r="J23" s="235">
        <v>1.2999999999999999E-2</v>
      </c>
      <c r="K23" s="235">
        <v>1.2</v>
      </c>
      <c r="L23" s="235">
        <v>0.14000000000000001</v>
      </c>
      <c r="M23" s="21">
        <v>0.05</v>
      </c>
      <c r="N23" s="21">
        <v>0.05</v>
      </c>
      <c r="O23" s="21">
        <v>0.01</v>
      </c>
      <c r="P23" s="21">
        <v>0.01</v>
      </c>
      <c r="Q23" s="21"/>
      <c r="R23" s="230" t="s">
        <v>1009</v>
      </c>
      <c r="S23" s="230" t="s">
        <v>366</v>
      </c>
      <c r="T23" s="230"/>
      <c r="U23" s="21">
        <v>0</v>
      </c>
      <c r="AA23" s="114"/>
      <c r="AB23" s="114"/>
      <c r="AC23" s="114"/>
    </row>
    <row r="24" spans="1:29" ht="15.05" customHeight="1">
      <c r="A24" s="21" t="s">
        <v>548</v>
      </c>
      <c r="B24" s="235">
        <v>81.900000000000006</v>
      </c>
      <c r="C24" s="235">
        <v>1.8</v>
      </c>
      <c r="D24" s="235">
        <v>0.7</v>
      </c>
      <c r="E24" s="235">
        <v>16</v>
      </c>
      <c r="F24" s="235">
        <v>1.4</v>
      </c>
      <c r="G24" s="235">
        <v>2.2000000000000002</v>
      </c>
      <c r="H24" s="235">
        <v>32.9</v>
      </c>
      <c r="I24" s="235">
        <v>64</v>
      </c>
      <c r="J24" s="235">
        <v>0.09</v>
      </c>
      <c r="K24" s="21">
        <v>0.5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/>
      <c r="R24" s="230" t="s">
        <v>470</v>
      </c>
      <c r="S24" s="230" t="s">
        <v>366</v>
      </c>
      <c r="T24" s="230"/>
      <c r="U24" s="21">
        <v>0</v>
      </c>
      <c r="AA24" s="114"/>
      <c r="AB24" s="114"/>
      <c r="AC24" s="114"/>
    </row>
    <row r="25" spans="1:29" ht="15.05" customHeight="1">
      <c r="A25" s="21" t="s">
        <v>353</v>
      </c>
      <c r="B25" s="235">
        <v>359</v>
      </c>
      <c r="C25" s="235">
        <v>15.8</v>
      </c>
      <c r="D25" s="235">
        <v>6.48</v>
      </c>
      <c r="E25" s="235">
        <v>51</v>
      </c>
      <c r="F25" s="235">
        <v>2.5499999999999998</v>
      </c>
      <c r="G25" s="235">
        <v>16.7</v>
      </c>
      <c r="H25" s="235">
        <v>62.6</v>
      </c>
      <c r="I25" s="235">
        <v>627</v>
      </c>
      <c r="J25" s="235">
        <v>1.6E-2</v>
      </c>
      <c r="K25" s="235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/>
      <c r="R25" s="230" t="s">
        <v>423</v>
      </c>
      <c r="S25" s="230" t="s">
        <v>468</v>
      </c>
      <c r="T25" s="230" t="s">
        <v>1005</v>
      </c>
      <c r="U25" s="21">
        <v>4</v>
      </c>
      <c r="AA25" s="114"/>
      <c r="AB25" s="114"/>
      <c r="AC25" s="114"/>
    </row>
    <row r="26" spans="1:29" ht="15.05" customHeight="1">
      <c r="A26" s="21"/>
      <c r="B26" s="235"/>
      <c r="C26" s="235"/>
      <c r="D26" s="235"/>
      <c r="E26" s="235"/>
      <c r="F26" s="235"/>
      <c r="G26" s="235"/>
      <c r="H26" s="235"/>
      <c r="I26" s="235"/>
      <c r="J26" s="235"/>
      <c r="K26" s="21"/>
      <c r="L26" s="21"/>
      <c r="M26" s="21"/>
      <c r="N26" s="21"/>
      <c r="O26" s="21"/>
      <c r="P26" s="21"/>
      <c r="Q26" s="21"/>
      <c r="R26" s="230"/>
      <c r="S26" s="230"/>
      <c r="T26" s="230"/>
      <c r="U26" s="21"/>
      <c r="AA26" s="114"/>
      <c r="AB26" s="114"/>
      <c r="AC26" s="114"/>
    </row>
    <row r="27" spans="1:29" ht="15.0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30"/>
      <c r="S27" s="230"/>
      <c r="T27" s="230"/>
      <c r="U27" s="21"/>
      <c r="AA27" s="114"/>
      <c r="AB27" s="114"/>
      <c r="AC27" s="114"/>
    </row>
    <row r="28" spans="1:29" ht="15.05" customHeight="1">
      <c r="AA28" s="114"/>
      <c r="AB28" s="114"/>
      <c r="AC28" s="114"/>
    </row>
    <row r="29" spans="1:29" ht="15.05" customHeight="1">
      <c r="AA29" s="114"/>
      <c r="AB29" s="114"/>
      <c r="AC29" s="114"/>
    </row>
    <row r="30" spans="1:29" ht="15.05" customHeight="1">
      <c r="E30" s="238"/>
      <c r="F30" s="232" t="s">
        <v>829</v>
      </c>
      <c r="G30" s="232"/>
      <c r="I30" s="21" t="s">
        <v>992</v>
      </c>
      <c r="AA30" s="114"/>
      <c r="AB30" s="114"/>
      <c r="AC30" s="114"/>
    </row>
    <row r="31" spans="1:29" ht="15.05" customHeight="1">
      <c r="E31" s="238"/>
      <c r="F31" s="238"/>
      <c r="G31" s="238"/>
      <c r="I31" s="233">
        <v>45457</v>
      </c>
      <c r="AA31" s="114"/>
      <c r="AB31" s="114"/>
      <c r="AC31" s="114"/>
    </row>
    <row r="32" spans="1:29" ht="15.05" customHeight="1">
      <c r="AA32" s="114"/>
      <c r="AB32" s="114"/>
      <c r="AC32" s="114"/>
    </row>
    <row r="33" spans="27:29" ht="15.05" customHeight="1">
      <c r="AA33" s="114"/>
      <c r="AB33" s="114"/>
      <c r="AC33" s="114"/>
    </row>
    <row r="34" spans="27:29" ht="15.05" customHeight="1">
      <c r="AA34" s="114"/>
      <c r="AB34" s="114"/>
      <c r="AC34" s="114"/>
    </row>
    <row r="35" spans="27:29" ht="15.05" customHeight="1">
      <c r="AA35" s="114"/>
      <c r="AB35" s="114"/>
      <c r="AC35" s="114"/>
    </row>
    <row r="36" spans="27:29" ht="15.05" customHeight="1"/>
    <row r="37" spans="27:29" ht="15.05" customHeight="1"/>
    <row r="38" spans="27:29" ht="15.05" customHeight="1"/>
    <row r="39" spans="27:29" ht="15.05" customHeight="1"/>
    <row r="40" spans="27:29" ht="15.05" customHeight="1"/>
  </sheetData>
  <sheetProtection algorithmName="SHA-512" hashValue="Fy9HTwiE3DeOraCqQKDibIvUWv58dflcHIcdVgxW7kCULH3rsxKRNu1YW5OlmW7asdPYPMlImlxXMpuH/FBSiA==" saltValue="2bPMzeTOJpfG13OTTxcJ8w==" spinCount="100000" sheet="1" objects="1" scenarios="1" selectLockedCells="1" selectUnlockedCells="1"/>
  <mergeCells count="2">
    <mergeCell ref="E30:E31"/>
    <mergeCell ref="F30:G31"/>
  </mergeCells>
  <pageMargins left="0.7" right="0.7" top="0.75" bottom="0.75" header="0.3" footer="0.3"/>
  <pageSetup paperSize="9" orientation="portrait" r:id="rId1"/>
  <ignoredErrors>
    <ignoredError sqref="B28:T29 B32:T38 B30:H31 J30:T31 Q2:T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B3E04-F95A-4F14-96CD-C8135CC529C3}">
  <dimension ref="A1:AC38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6" width="11.5546875" style="228"/>
    <col min="7" max="7" width="11.5546875" style="228" customWidth="1"/>
    <col min="8" max="17" width="11.5546875" style="228"/>
    <col min="18" max="18" width="31.88671875" style="228" bestFit="1" customWidth="1"/>
    <col min="19" max="19" width="40.6640625" style="228" customWidth="1"/>
    <col min="20" max="20" width="60.6640625" style="228" customWidth="1"/>
    <col min="21" max="21" width="21.6640625" style="228" customWidth="1"/>
    <col min="22" max="16384" width="11.5546875" style="228"/>
  </cols>
  <sheetData>
    <row r="1" spans="1:29" ht="18.350000000000001">
      <c r="A1" s="21" t="s">
        <v>400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394</v>
      </c>
      <c r="S1" s="21" t="s">
        <v>396</v>
      </c>
      <c r="T1" s="21" t="s">
        <v>395</v>
      </c>
      <c r="AA1" s="229"/>
      <c r="AB1" s="229"/>
      <c r="AC1" s="229"/>
    </row>
    <row r="2" spans="1:29" ht="15.05" customHeight="1">
      <c r="A2" s="21" t="s">
        <v>551</v>
      </c>
      <c r="B2" s="235">
        <v>75.5</v>
      </c>
      <c r="C2" s="235">
        <v>2.72</v>
      </c>
      <c r="D2" s="235">
        <v>1.52</v>
      </c>
      <c r="E2" s="235">
        <v>11.9</v>
      </c>
      <c r="F2" s="235">
        <v>0.34</v>
      </c>
      <c r="G2" s="235">
        <v>1.7</v>
      </c>
      <c r="H2" s="235">
        <v>9</v>
      </c>
      <c r="I2" s="235">
        <v>77</v>
      </c>
      <c r="J2" s="235">
        <v>0.01</v>
      </c>
      <c r="K2" s="235">
        <v>11.6</v>
      </c>
      <c r="L2" s="235">
        <v>0.42</v>
      </c>
      <c r="M2" s="21">
        <v>0.54</v>
      </c>
      <c r="N2" s="21">
        <v>1.7999999999999999E-2</v>
      </c>
      <c r="O2" s="235">
        <v>0</v>
      </c>
      <c r="P2" s="235">
        <v>0</v>
      </c>
      <c r="Q2" s="21"/>
      <c r="R2" s="230" t="s">
        <v>424</v>
      </c>
      <c r="S2" s="230" t="s">
        <v>378</v>
      </c>
      <c r="T2" s="230" t="s">
        <v>1132</v>
      </c>
      <c r="AA2" s="229"/>
      <c r="AB2" s="229"/>
      <c r="AC2" s="229"/>
    </row>
    <row r="3" spans="1:29" ht="15.05" customHeight="1">
      <c r="A3" s="21" t="s">
        <v>552</v>
      </c>
      <c r="B3" s="21">
        <v>128</v>
      </c>
      <c r="C3" s="21">
        <v>3</v>
      </c>
      <c r="D3" s="21">
        <v>0.7</v>
      </c>
      <c r="E3" s="21">
        <v>27</v>
      </c>
      <c r="F3" s="21">
        <v>0.34</v>
      </c>
      <c r="G3" s="21">
        <v>1</v>
      </c>
      <c r="H3" s="21">
        <v>5</v>
      </c>
      <c r="I3" s="21">
        <v>45</v>
      </c>
      <c r="J3" s="21">
        <v>0.01</v>
      </c>
      <c r="K3" s="21">
        <v>11.6</v>
      </c>
      <c r="L3" s="21">
        <v>2.08</v>
      </c>
      <c r="M3" s="21">
        <v>2.4</v>
      </c>
      <c r="N3" s="21">
        <v>9.6000000000000002E-2</v>
      </c>
      <c r="O3" s="21">
        <v>0</v>
      </c>
      <c r="P3" s="21">
        <v>0</v>
      </c>
      <c r="Q3" s="21"/>
      <c r="R3" s="230" t="s">
        <v>425</v>
      </c>
      <c r="S3" s="230" t="s">
        <v>378</v>
      </c>
      <c r="T3" s="230" t="s">
        <v>1132</v>
      </c>
      <c r="AA3" s="229"/>
      <c r="AB3" s="229"/>
      <c r="AC3" s="229"/>
    </row>
    <row r="4" spans="1:29" ht="15.05" customHeight="1">
      <c r="A4" s="21" t="s">
        <v>553</v>
      </c>
      <c r="B4" s="235">
        <v>62.8</v>
      </c>
      <c r="C4" s="235">
        <v>1.69</v>
      </c>
      <c r="D4" s="235">
        <v>0.15</v>
      </c>
      <c r="E4" s="235">
        <v>12.2</v>
      </c>
      <c r="F4" s="235">
        <v>0.99</v>
      </c>
      <c r="G4" s="235">
        <v>2.9</v>
      </c>
      <c r="H4" s="235">
        <v>32.5</v>
      </c>
      <c r="I4" s="235">
        <v>43</v>
      </c>
      <c r="J4" s="235">
        <v>7.9000000000000001E-2</v>
      </c>
      <c r="K4" s="235">
        <v>6.14</v>
      </c>
      <c r="L4" s="21">
        <v>0</v>
      </c>
      <c r="M4" s="21">
        <v>0</v>
      </c>
      <c r="N4" s="21">
        <v>0</v>
      </c>
      <c r="O4" s="235">
        <v>0</v>
      </c>
      <c r="P4" s="235">
        <v>0</v>
      </c>
      <c r="Q4" s="21"/>
      <c r="R4" s="230" t="s">
        <v>426</v>
      </c>
      <c r="S4" s="230" t="s">
        <v>360</v>
      </c>
      <c r="T4" s="230" t="s">
        <v>1133</v>
      </c>
      <c r="AA4" s="229"/>
      <c r="AB4" s="229"/>
      <c r="AC4" s="229"/>
    </row>
    <row r="5" spans="1:29" ht="15.05" customHeight="1">
      <c r="A5" s="21" t="s">
        <v>554</v>
      </c>
      <c r="B5" s="235">
        <v>134</v>
      </c>
      <c r="C5" s="235">
        <v>4.9400000000000004</v>
      </c>
      <c r="D5" s="235">
        <v>2</v>
      </c>
      <c r="E5" s="235">
        <v>23</v>
      </c>
      <c r="F5" s="235">
        <v>0.3</v>
      </c>
      <c r="G5" s="235">
        <v>2</v>
      </c>
      <c r="H5" s="235">
        <v>23</v>
      </c>
      <c r="I5" s="235">
        <v>68</v>
      </c>
      <c r="J5" s="21">
        <v>0.01</v>
      </c>
      <c r="K5" s="235">
        <v>19.7</v>
      </c>
      <c r="L5" s="235">
        <v>0.57999999999999996</v>
      </c>
      <c r="M5" s="21">
        <v>0.52600000000000002</v>
      </c>
      <c r="N5" s="21">
        <v>4.5000000000000005E-2</v>
      </c>
      <c r="O5" s="21">
        <v>0.01</v>
      </c>
      <c r="P5" s="21">
        <v>0.01</v>
      </c>
      <c r="Q5" s="21"/>
      <c r="R5" s="230" t="s">
        <v>427</v>
      </c>
      <c r="S5" s="230" t="s">
        <v>361</v>
      </c>
      <c r="T5" s="230" t="s">
        <v>1134</v>
      </c>
      <c r="AA5" s="231"/>
      <c r="AB5" s="231"/>
      <c r="AC5" s="231"/>
    </row>
    <row r="6" spans="1:29" ht="15.05" customHeight="1">
      <c r="A6" s="21" t="s">
        <v>555</v>
      </c>
      <c r="B6" s="235">
        <v>126</v>
      </c>
      <c r="C6" s="235">
        <v>4.38</v>
      </c>
      <c r="D6" s="235">
        <v>0.55000000000000004</v>
      </c>
      <c r="E6" s="235">
        <v>25</v>
      </c>
      <c r="F6" s="235">
        <v>0.23</v>
      </c>
      <c r="G6" s="235">
        <v>1.9</v>
      </c>
      <c r="H6" s="235">
        <v>17</v>
      </c>
      <c r="I6" s="235">
        <v>59</v>
      </c>
      <c r="J6" s="21">
        <v>0.01</v>
      </c>
      <c r="K6" s="235">
        <v>21.7</v>
      </c>
      <c r="L6" s="21">
        <v>0.01</v>
      </c>
      <c r="M6" s="21">
        <v>0.02</v>
      </c>
      <c r="N6" s="21">
        <v>0.03</v>
      </c>
      <c r="O6" s="21">
        <v>0.01</v>
      </c>
      <c r="P6" s="21">
        <v>0.01</v>
      </c>
      <c r="Q6" s="21"/>
      <c r="R6" s="230" t="s">
        <v>428</v>
      </c>
      <c r="S6" s="230" t="s">
        <v>361</v>
      </c>
      <c r="T6" s="230" t="s">
        <v>1134</v>
      </c>
      <c r="AA6" s="231"/>
      <c r="AB6" s="231"/>
      <c r="AC6" s="231"/>
    </row>
    <row r="7" spans="1:29" ht="15.05" customHeight="1">
      <c r="A7" s="21" t="s">
        <v>556</v>
      </c>
      <c r="B7" s="235">
        <v>80.5</v>
      </c>
      <c r="C7" s="235">
        <v>1.8</v>
      </c>
      <c r="D7" s="235">
        <v>0.34</v>
      </c>
      <c r="E7" s="235">
        <v>16.7</v>
      </c>
      <c r="F7" s="235">
        <v>0.96</v>
      </c>
      <c r="G7" s="235">
        <v>1.8</v>
      </c>
      <c r="H7" s="235">
        <v>5.83</v>
      </c>
      <c r="I7" s="235">
        <v>37.200000000000003</v>
      </c>
      <c r="J7" s="235">
        <v>5.1999999999999998E-2</v>
      </c>
      <c r="K7" s="235">
        <v>15.8</v>
      </c>
      <c r="L7" s="235">
        <v>2E-3</v>
      </c>
      <c r="M7" s="21">
        <v>3.2000000000000001E-2</v>
      </c>
      <c r="N7" s="21">
        <v>1.0999999999999999E-2</v>
      </c>
      <c r="O7" s="235">
        <v>0</v>
      </c>
      <c r="P7" s="235">
        <v>0</v>
      </c>
      <c r="Q7" s="21"/>
      <c r="R7" s="230" t="s">
        <v>429</v>
      </c>
      <c r="S7" s="230" t="s">
        <v>360</v>
      </c>
      <c r="T7" s="230" t="s">
        <v>401</v>
      </c>
      <c r="AA7" s="231"/>
      <c r="AB7" s="231" t="s">
        <v>380</v>
      </c>
      <c r="AC7" s="231"/>
    </row>
    <row r="8" spans="1:29" ht="15.05" customHeight="1">
      <c r="A8" s="21" t="s">
        <v>557</v>
      </c>
      <c r="B8" s="21">
        <v>67.3</v>
      </c>
      <c r="C8" s="21">
        <v>2.5</v>
      </c>
      <c r="D8" s="21">
        <v>0.53</v>
      </c>
      <c r="E8" s="21">
        <v>12.1</v>
      </c>
      <c r="F8" s="21">
        <v>0.73</v>
      </c>
      <c r="G8" s="21">
        <v>1.8</v>
      </c>
      <c r="H8" s="21">
        <v>6</v>
      </c>
      <c r="I8" s="21">
        <v>40</v>
      </c>
      <c r="J8" s="21">
        <v>8.7999999999999995E-2</v>
      </c>
      <c r="K8" s="21">
        <v>9.8000000000000007</v>
      </c>
      <c r="L8" s="21">
        <v>1.6E-2</v>
      </c>
      <c r="M8" s="21">
        <v>1.2E-2</v>
      </c>
      <c r="N8" s="21">
        <v>3.5999999999999999E-3</v>
      </c>
      <c r="O8" s="21">
        <v>0</v>
      </c>
      <c r="P8" s="21">
        <v>0</v>
      </c>
      <c r="Q8" s="21"/>
      <c r="R8" s="230" t="s">
        <v>430</v>
      </c>
      <c r="S8" s="230" t="s">
        <v>362</v>
      </c>
      <c r="T8" s="230" t="s">
        <v>401</v>
      </c>
      <c r="AA8" s="231"/>
      <c r="AB8" s="231"/>
      <c r="AC8" s="231"/>
    </row>
    <row r="9" spans="1:29" ht="15.05" customHeight="1">
      <c r="A9" s="21" t="s">
        <v>558</v>
      </c>
      <c r="B9" s="235">
        <v>145</v>
      </c>
      <c r="C9" s="235">
        <v>3.06</v>
      </c>
      <c r="D9" s="235">
        <v>0.41</v>
      </c>
      <c r="E9" s="235">
        <v>31.8</v>
      </c>
      <c r="F9" s="235">
        <v>0.13</v>
      </c>
      <c r="G9" s="235">
        <v>0.8</v>
      </c>
      <c r="H9" s="235">
        <v>14</v>
      </c>
      <c r="I9" s="235">
        <v>35</v>
      </c>
      <c r="J9" s="21">
        <v>0.01</v>
      </c>
      <c r="K9" s="235">
        <v>27.7</v>
      </c>
      <c r="L9" s="21">
        <v>0.01</v>
      </c>
      <c r="M9" s="21">
        <v>0.02</v>
      </c>
      <c r="N9" s="21">
        <v>0.03</v>
      </c>
      <c r="O9" s="21">
        <v>0.01</v>
      </c>
      <c r="P9" s="21">
        <v>0.01</v>
      </c>
      <c r="Q9" s="21"/>
      <c r="R9" s="230" t="s">
        <v>431</v>
      </c>
      <c r="S9" s="230" t="s">
        <v>361</v>
      </c>
      <c r="T9" s="230" t="s">
        <v>1135</v>
      </c>
      <c r="AA9" s="231"/>
      <c r="AB9" s="231" t="s">
        <v>381</v>
      </c>
      <c r="AC9" s="231"/>
    </row>
    <row r="10" spans="1:29" ht="15.05" customHeight="1">
      <c r="A10" s="21" t="s">
        <v>1012</v>
      </c>
      <c r="B10" s="235">
        <v>122</v>
      </c>
      <c r="C10" s="235">
        <v>3.75</v>
      </c>
      <c r="D10" s="235">
        <v>0.8</v>
      </c>
      <c r="E10" s="235">
        <v>24</v>
      </c>
      <c r="F10" s="235">
        <v>0.33</v>
      </c>
      <c r="G10" s="235">
        <v>1.9</v>
      </c>
      <c r="H10" s="235">
        <v>13</v>
      </c>
      <c r="I10" s="235">
        <v>62</v>
      </c>
      <c r="J10" s="21">
        <v>1.2999999999999999E-2</v>
      </c>
      <c r="K10" s="235">
        <v>14.6</v>
      </c>
      <c r="L10" s="235">
        <v>0.2</v>
      </c>
      <c r="M10" s="21">
        <v>0.26</v>
      </c>
      <c r="N10" s="21">
        <v>0.04</v>
      </c>
      <c r="O10" s="21">
        <v>0.01</v>
      </c>
      <c r="P10" s="21">
        <v>0.01</v>
      </c>
      <c r="Q10" s="21"/>
      <c r="R10" s="230" t="s">
        <v>1010</v>
      </c>
      <c r="S10" s="230" t="s">
        <v>1011</v>
      </c>
      <c r="T10" s="230"/>
      <c r="AA10" s="231"/>
      <c r="AB10" s="231"/>
      <c r="AC10" s="231"/>
    </row>
    <row r="11" spans="1:29" ht="15.05" customHeight="1">
      <c r="A11" s="21" t="s">
        <v>559</v>
      </c>
      <c r="B11" s="21">
        <v>128.9</v>
      </c>
      <c r="C11" s="21">
        <v>6.9199999999999998E-2</v>
      </c>
      <c r="D11" s="21">
        <v>7.3000000000000001E-3</v>
      </c>
      <c r="E11" s="21">
        <v>31.970099999999999</v>
      </c>
      <c r="F11" s="21">
        <v>2.9100000000000001E-2</v>
      </c>
      <c r="G11" s="21">
        <v>0.32769999999999999</v>
      </c>
      <c r="H11" s="21">
        <v>7.2824999999999998</v>
      </c>
      <c r="I11" s="21">
        <v>2.5489000000000002</v>
      </c>
      <c r="J11" s="21">
        <v>0</v>
      </c>
      <c r="K11" s="21">
        <v>28.5</v>
      </c>
      <c r="L11" s="21">
        <v>2.08</v>
      </c>
      <c r="M11" s="21">
        <v>2.4</v>
      </c>
      <c r="N11" s="21">
        <v>9.6000000000000002E-2</v>
      </c>
      <c r="O11" s="21">
        <v>0</v>
      </c>
      <c r="P11" s="21">
        <v>0</v>
      </c>
      <c r="Q11" s="21"/>
      <c r="R11" s="230" t="s">
        <v>432</v>
      </c>
      <c r="S11" s="230" t="s">
        <v>378</v>
      </c>
      <c r="T11" s="230" t="s">
        <v>1136</v>
      </c>
      <c r="AA11" s="231"/>
      <c r="AB11" s="231" t="s">
        <v>382</v>
      </c>
      <c r="AC11" s="231"/>
    </row>
    <row r="12" spans="1:29" ht="15.05" customHeight="1">
      <c r="A12" s="21" t="s">
        <v>466</v>
      </c>
      <c r="B12" s="21">
        <v>90</v>
      </c>
      <c r="C12" s="21">
        <v>0.98</v>
      </c>
      <c r="D12" s="21">
        <v>0.25</v>
      </c>
      <c r="E12" s="21">
        <v>19.600000000000001</v>
      </c>
      <c r="F12" s="21">
        <v>0.97</v>
      </c>
      <c r="G12" s="21">
        <v>1.9</v>
      </c>
      <c r="H12" s="21">
        <v>4.12</v>
      </c>
      <c r="I12" s="21">
        <v>24.7</v>
      </c>
      <c r="J12" s="21">
        <v>3.8E-3</v>
      </c>
      <c r="K12" s="21">
        <v>2.1</v>
      </c>
      <c r="L12" s="21">
        <v>2.5999999999999999E-2</v>
      </c>
      <c r="M12" s="21">
        <v>3.2000000000000001E-2</v>
      </c>
      <c r="N12" s="21">
        <v>3.5000000000000003E-2</v>
      </c>
      <c r="O12" s="21">
        <v>0</v>
      </c>
      <c r="P12" s="21">
        <v>0</v>
      </c>
      <c r="Q12" s="21"/>
      <c r="R12" s="230" t="s">
        <v>467</v>
      </c>
      <c r="S12" s="230" t="s">
        <v>379</v>
      </c>
      <c r="T12" s="230" t="s">
        <v>1137</v>
      </c>
      <c r="AA12" s="231"/>
      <c r="AB12" s="231" t="s">
        <v>383</v>
      </c>
      <c r="AC12" s="231"/>
    </row>
    <row r="13" spans="1:29" ht="15.05" customHeight="1">
      <c r="A13" s="21" t="s">
        <v>560</v>
      </c>
      <c r="B13" s="235">
        <v>125</v>
      </c>
      <c r="C13" s="235">
        <v>0.79</v>
      </c>
      <c r="D13" s="235">
        <v>0.18</v>
      </c>
      <c r="E13" s="235">
        <v>28.9</v>
      </c>
      <c r="F13" s="235">
        <v>0.57999999999999996</v>
      </c>
      <c r="G13" s="235">
        <v>2.2999999999999998</v>
      </c>
      <c r="H13" s="235">
        <v>2</v>
      </c>
      <c r="I13" s="235">
        <v>28</v>
      </c>
      <c r="J13" s="235">
        <v>1.2999999999999999E-2</v>
      </c>
      <c r="K13" s="21">
        <v>24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/>
      <c r="R13" s="230" t="s">
        <v>433</v>
      </c>
      <c r="S13" s="230" t="s">
        <v>363</v>
      </c>
      <c r="T13" s="230" t="s">
        <v>1137</v>
      </c>
      <c r="AA13" s="231"/>
      <c r="AB13" s="231" t="s">
        <v>384</v>
      </c>
      <c r="AC13" s="231"/>
    </row>
    <row r="14" spans="1:29" ht="15.05" customHeight="1">
      <c r="A14" s="21" t="s">
        <v>561</v>
      </c>
      <c r="B14" s="235">
        <v>149</v>
      </c>
      <c r="C14" s="235">
        <v>5</v>
      </c>
      <c r="D14" s="235">
        <v>1.1000000000000001</v>
      </c>
      <c r="E14" s="235">
        <v>27.9</v>
      </c>
      <c r="F14" s="235">
        <v>0.93</v>
      </c>
      <c r="G14" s="235">
        <v>3.8</v>
      </c>
      <c r="H14" s="235">
        <v>23</v>
      </c>
      <c r="I14" s="235">
        <v>180</v>
      </c>
      <c r="J14" s="235">
        <v>1.4999999999999999E-2</v>
      </c>
      <c r="K14" s="235">
        <v>24.3</v>
      </c>
      <c r="L14" s="235">
        <v>0.28000000000000003</v>
      </c>
      <c r="M14" s="21">
        <v>0.5</v>
      </c>
      <c r="N14" s="21">
        <v>0.09</v>
      </c>
      <c r="O14" s="21">
        <v>0.01</v>
      </c>
      <c r="P14" s="21">
        <v>0.01</v>
      </c>
      <c r="Q14" s="21"/>
      <c r="R14" s="230" t="s">
        <v>434</v>
      </c>
      <c r="S14" s="230" t="s">
        <v>364</v>
      </c>
      <c r="T14" s="230" t="s">
        <v>401</v>
      </c>
      <c r="AA14" s="231"/>
      <c r="AB14" s="231"/>
      <c r="AC14" s="231"/>
    </row>
    <row r="15" spans="1:29" ht="15.0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30"/>
      <c r="S15" s="230"/>
      <c r="T15" s="230"/>
      <c r="AA15" s="231"/>
      <c r="AB15" s="231"/>
      <c r="AC15" s="231"/>
    </row>
    <row r="16" spans="1:29" ht="15.0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30"/>
      <c r="S16" s="230"/>
      <c r="T16" s="230"/>
      <c r="AA16" s="231"/>
      <c r="AB16" s="231"/>
      <c r="AC16" s="231"/>
    </row>
    <row r="17" spans="1:29" ht="15.0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AA17" s="231"/>
      <c r="AB17" s="231"/>
      <c r="AC17" s="231"/>
    </row>
    <row r="18" spans="1:29" ht="15.0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AA18" s="114"/>
      <c r="AB18" s="114"/>
      <c r="AC18" s="114"/>
    </row>
    <row r="19" spans="1:29" ht="15.05" customHeight="1">
      <c r="E19" s="238"/>
      <c r="F19" s="232" t="s">
        <v>815</v>
      </c>
      <c r="G19" s="232"/>
      <c r="H19" s="21"/>
      <c r="I19" s="21" t="s">
        <v>992</v>
      </c>
      <c r="P19" s="21"/>
      <c r="Q19" s="21"/>
      <c r="R19" s="21"/>
      <c r="S19" s="21"/>
      <c r="T19" s="21"/>
      <c r="U19" s="21"/>
      <c r="AA19" s="114"/>
      <c r="AB19" s="114"/>
      <c r="AC19" s="114"/>
    </row>
    <row r="20" spans="1:29" ht="15.05" customHeight="1">
      <c r="E20" s="238"/>
      <c r="F20" s="238"/>
      <c r="G20" s="238"/>
      <c r="I20" s="233">
        <v>45457</v>
      </c>
      <c r="P20" s="21"/>
      <c r="Q20" s="21"/>
      <c r="R20" s="21"/>
      <c r="S20" s="21"/>
      <c r="T20" s="21"/>
      <c r="U20" s="21"/>
      <c r="AA20" s="114"/>
      <c r="AB20" s="114"/>
      <c r="AC20" s="114"/>
    </row>
    <row r="21" spans="1:29" ht="15.05" customHeight="1">
      <c r="P21" s="21"/>
      <c r="Q21" s="21"/>
      <c r="R21" s="21"/>
      <c r="S21" s="21"/>
      <c r="T21" s="21"/>
      <c r="U21" s="21"/>
      <c r="AA21" s="114"/>
      <c r="AB21" s="114"/>
      <c r="AC21" s="114"/>
    </row>
    <row r="22" spans="1:29" ht="15.05" customHeight="1">
      <c r="P22" s="21"/>
      <c r="Q22" s="21"/>
      <c r="R22" s="21"/>
      <c r="S22" s="21"/>
      <c r="T22" s="21"/>
      <c r="U22" s="21"/>
      <c r="AA22" s="114"/>
      <c r="AB22" s="114"/>
      <c r="AC22" s="114"/>
    </row>
    <row r="23" spans="1:29" ht="15.05" customHeight="1">
      <c r="P23" s="21"/>
      <c r="Q23" s="21"/>
      <c r="R23" s="21"/>
      <c r="S23" s="21"/>
      <c r="T23" s="21"/>
      <c r="U23" s="21"/>
      <c r="AA23" s="114"/>
      <c r="AB23" s="114"/>
      <c r="AC23" s="114"/>
    </row>
    <row r="24" spans="1:29" ht="15.05" customHeight="1">
      <c r="P24" s="21"/>
      <c r="Q24" s="21"/>
      <c r="R24" s="21"/>
      <c r="S24" s="21"/>
      <c r="T24" s="21"/>
      <c r="U24" s="21"/>
      <c r="AA24" s="114"/>
      <c r="AB24" s="114"/>
      <c r="AC24" s="114"/>
    </row>
    <row r="25" spans="1:29" ht="15.05" customHeight="1">
      <c r="P25" s="21"/>
      <c r="Q25" s="21"/>
      <c r="R25" s="21"/>
      <c r="S25" s="21"/>
      <c r="T25" s="21"/>
      <c r="U25" s="21"/>
      <c r="AA25" s="114"/>
      <c r="AB25" s="114"/>
      <c r="AC25" s="114"/>
    </row>
    <row r="26" spans="1:29" ht="15.05" customHeight="1">
      <c r="P26" s="21"/>
      <c r="Q26" s="21"/>
      <c r="R26" s="21"/>
      <c r="S26" s="21"/>
      <c r="T26" s="21"/>
      <c r="U26" s="21"/>
      <c r="AA26" s="114"/>
      <c r="AB26" s="114"/>
      <c r="AC26" s="114"/>
    </row>
    <row r="27" spans="1:29" ht="15.05" customHeight="1">
      <c r="P27" s="21"/>
      <c r="Q27" s="21"/>
      <c r="R27" s="21"/>
      <c r="S27" s="21"/>
      <c r="T27" s="21"/>
      <c r="U27" s="21"/>
      <c r="AA27" s="114"/>
      <c r="AB27" s="114"/>
      <c r="AC27" s="114"/>
    </row>
    <row r="28" spans="1:29" ht="15.05" customHeight="1">
      <c r="P28" s="21"/>
      <c r="Q28" s="21"/>
      <c r="R28" s="21"/>
      <c r="S28" s="21"/>
      <c r="T28" s="21"/>
      <c r="U28" s="21"/>
      <c r="AA28" s="114"/>
      <c r="AB28" s="114"/>
      <c r="AC28" s="114"/>
    </row>
    <row r="29" spans="1:29" ht="15.05" customHeight="1">
      <c r="P29" s="21"/>
      <c r="Q29" s="21"/>
      <c r="R29" s="21"/>
      <c r="S29" s="21"/>
      <c r="T29" s="21"/>
      <c r="U29" s="21"/>
      <c r="AA29" s="114"/>
      <c r="AB29" s="114"/>
      <c r="AC29" s="114"/>
    </row>
    <row r="30" spans="1:29" ht="15.05" customHeight="1">
      <c r="P30" s="21"/>
      <c r="Q30" s="21"/>
      <c r="R30" s="21"/>
      <c r="S30" s="21"/>
      <c r="T30" s="21"/>
      <c r="U30" s="21"/>
      <c r="AA30" s="114"/>
      <c r="AB30" s="114"/>
      <c r="AC30" s="114"/>
    </row>
    <row r="31" spans="1:29" ht="15.05" customHeight="1">
      <c r="AA31" s="114"/>
      <c r="AB31" s="114"/>
      <c r="AC31" s="114"/>
    </row>
    <row r="32" spans="1:29" ht="15.05" customHeight="1">
      <c r="AA32" s="114"/>
      <c r="AB32" s="114"/>
      <c r="AC32" s="114"/>
    </row>
    <row r="33" spans="27:29" ht="15.05" customHeight="1">
      <c r="AA33" s="114"/>
      <c r="AB33" s="114"/>
      <c r="AC33" s="114"/>
    </row>
    <row r="34" spans="27:29" ht="15.05" customHeight="1">
      <c r="AA34" s="114"/>
      <c r="AB34" s="114"/>
      <c r="AC34" s="114"/>
    </row>
    <row r="35" spans="27:29" ht="15.05" customHeight="1">
      <c r="AA35" s="114"/>
      <c r="AB35" s="114"/>
      <c r="AC35" s="114"/>
    </row>
    <row r="36" spans="27:29" ht="15.05" customHeight="1"/>
    <row r="37" spans="27:29" ht="15.05" customHeight="1"/>
    <row r="38" spans="27:29" ht="15.05" customHeight="1"/>
  </sheetData>
  <sheetProtection algorithmName="SHA-512" hashValue="ecEmDzoEcARWzJ9F310ch0VdUll+PAzk103VPntMHgzh7hFaO2fOuurKCrsRhUBJaR/bfmPoApIbvJrBWDhoYA==" saltValue="3pE+Nr/M+upYKXGMZgXTrA==" spinCount="100000" sheet="1" objects="1" scenarios="1" selectLockedCells="1" selectUnlockedCells="1"/>
  <mergeCells count="2">
    <mergeCell ref="E19:E20"/>
    <mergeCell ref="F19:G20"/>
  </mergeCells>
  <pageMargins left="0.7" right="0.7" top="0.75" bottom="0.75" header="0.3" footer="0.3"/>
  <pageSetup paperSize="9" orientation="portrait" r:id="rId1"/>
  <ignoredErrors>
    <ignoredError sqref="B17:O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E13A-8FA7-46E6-AF7E-1E9E663749EA}">
  <dimension ref="A1:AC72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17" width="11.5546875" style="228" customWidth="1"/>
    <col min="18" max="19" width="40.6640625" style="228" customWidth="1"/>
    <col min="20" max="20" width="60.6640625" style="228" customWidth="1"/>
    <col min="21" max="25" width="20.6640625" style="228" customWidth="1"/>
    <col min="26" max="16384" width="11.5546875" style="228"/>
  </cols>
  <sheetData>
    <row r="1" spans="1:29" ht="18.350000000000001">
      <c r="A1" s="21" t="s">
        <v>523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394</v>
      </c>
      <c r="S1" s="21" t="s">
        <v>396</v>
      </c>
      <c r="T1" s="21" t="s">
        <v>395</v>
      </c>
      <c r="U1" s="234" t="s">
        <v>251</v>
      </c>
      <c r="V1" s="234" t="s">
        <v>1015</v>
      </c>
      <c r="W1" s="234" t="s">
        <v>1016</v>
      </c>
      <c r="X1" s="234" t="s">
        <v>1017</v>
      </c>
      <c r="Y1" s="234" t="s">
        <v>10</v>
      </c>
      <c r="AA1" s="229"/>
      <c r="AB1" s="229"/>
      <c r="AC1" s="229"/>
    </row>
    <row r="2" spans="1:29" ht="15.05" customHeight="1">
      <c r="A2" s="21" t="s">
        <v>1116</v>
      </c>
      <c r="B2" s="235">
        <v>139</v>
      </c>
      <c r="C2" s="235">
        <v>19.600000000000001</v>
      </c>
      <c r="D2" s="235">
        <v>6.76</v>
      </c>
      <c r="E2" s="235">
        <v>0</v>
      </c>
      <c r="F2" s="235">
        <v>1.04</v>
      </c>
      <c r="G2" s="235">
        <v>0</v>
      </c>
      <c r="H2" s="235">
        <v>15</v>
      </c>
      <c r="I2" s="235">
        <v>184</v>
      </c>
      <c r="J2" s="235">
        <v>0.18</v>
      </c>
      <c r="K2" s="21">
        <v>0</v>
      </c>
      <c r="L2" s="235">
        <v>4.04</v>
      </c>
      <c r="M2" s="21">
        <v>0.36700000000000005</v>
      </c>
      <c r="N2" s="21">
        <v>6.3E-2</v>
      </c>
      <c r="O2" s="235">
        <v>5.0000000000000001E-3</v>
      </c>
      <c r="P2" s="21">
        <v>1E-3</v>
      </c>
      <c r="Q2" s="21"/>
      <c r="R2" s="230" t="s">
        <v>1118</v>
      </c>
      <c r="S2" s="230" t="s">
        <v>375</v>
      </c>
      <c r="T2" s="230"/>
      <c r="U2" s="21">
        <v>0.1</v>
      </c>
      <c r="V2" s="21">
        <f>ROUND(D2*1000/B2,2)</f>
        <v>48.63</v>
      </c>
      <c r="W2" s="21">
        <f>ROUNDUP(U2*1.4,1)</f>
        <v>0.2</v>
      </c>
      <c r="X2" s="21">
        <f>U2</f>
        <v>0.1</v>
      </c>
      <c r="Y2" s="21">
        <v>1</v>
      </c>
      <c r="AA2" s="229"/>
      <c r="AB2" s="229"/>
      <c r="AC2" s="229"/>
    </row>
    <row r="3" spans="1:29" ht="15.05" customHeight="1">
      <c r="A3" s="21" t="s">
        <v>1117</v>
      </c>
      <c r="B3" s="235">
        <v>197</v>
      </c>
      <c r="C3" s="235">
        <v>24.9</v>
      </c>
      <c r="D3" s="235">
        <v>10.8</v>
      </c>
      <c r="E3" s="235">
        <v>0</v>
      </c>
      <c r="F3" s="235">
        <v>1.33</v>
      </c>
      <c r="G3" s="235">
        <v>0</v>
      </c>
      <c r="H3" s="235">
        <v>19</v>
      </c>
      <c r="I3" s="235">
        <v>200</v>
      </c>
      <c r="J3" s="235">
        <v>0.17</v>
      </c>
      <c r="K3" s="21">
        <v>0</v>
      </c>
      <c r="L3" s="21">
        <v>4.7300000000000004</v>
      </c>
      <c r="M3" s="21">
        <v>0.31</v>
      </c>
      <c r="N3" s="21">
        <v>0.31</v>
      </c>
      <c r="O3" s="21">
        <v>0</v>
      </c>
      <c r="P3" s="21">
        <v>5.7000000000000002E-3</v>
      </c>
      <c r="Q3" s="21"/>
      <c r="R3" s="230" t="s">
        <v>1119</v>
      </c>
      <c r="S3" s="230" t="s">
        <v>375</v>
      </c>
      <c r="T3" s="230"/>
      <c r="U3" s="21">
        <v>0.5</v>
      </c>
      <c r="V3" s="21">
        <f t="shared" ref="V3:V25" si="0">ROUND(D3*1000/B3,2)</f>
        <v>54.82</v>
      </c>
      <c r="W3" s="21">
        <f t="shared" ref="W3:W25" si="1">ROUNDUP(U3*1.4,1)</f>
        <v>0.7</v>
      </c>
      <c r="X3" s="21">
        <f t="shared" ref="X3:X25" si="2">U3</f>
        <v>0.5</v>
      </c>
      <c r="Y3" s="21">
        <v>1</v>
      </c>
      <c r="AA3" s="229"/>
      <c r="AB3" s="229"/>
      <c r="AC3" s="229"/>
    </row>
    <row r="4" spans="1:29" ht="15.05" customHeight="1">
      <c r="A4" s="21" t="s">
        <v>564</v>
      </c>
      <c r="B4" s="235">
        <v>152</v>
      </c>
      <c r="C4" s="235">
        <v>22.3</v>
      </c>
      <c r="D4" s="235">
        <v>6.74</v>
      </c>
      <c r="E4" s="235">
        <v>0.6</v>
      </c>
      <c r="F4" s="235">
        <v>1.04</v>
      </c>
      <c r="G4" s="235">
        <v>0</v>
      </c>
      <c r="H4" s="235">
        <v>9.2799999999999994</v>
      </c>
      <c r="I4" s="235">
        <v>189</v>
      </c>
      <c r="J4" s="235">
        <v>8.2000000000000003E-2</v>
      </c>
      <c r="K4" s="21">
        <v>0</v>
      </c>
      <c r="L4" s="21">
        <v>2.59</v>
      </c>
      <c r="M4" s="21">
        <v>0.14799999999999999</v>
      </c>
      <c r="N4" s="21">
        <v>3.4300000000000004E-2</v>
      </c>
      <c r="O4" s="21">
        <v>3.0000000000000001E-3</v>
      </c>
      <c r="P4" s="21">
        <v>1.2999999999999999E-3</v>
      </c>
      <c r="Q4" s="21"/>
      <c r="R4" s="230" t="s">
        <v>435</v>
      </c>
      <c r="S4" s="230" t="s">
        <v>375</v>
      </c>
      <c r="T4" s="230"/>
      <c r="U4" s="21">
        <v>0.7</v>
      </c>
      <c r="V4" s="21">
        <f t="shared" si="0"/>
        <v>44.34</v>
      </c>
      <c r="W4" s="21">
        <f t="shared" si="1"/>
        <v>1</v>
      </c>
      <c r="X4" s="21">
        <f t="shared" si="2"/>
        <v>0.7</v>
      </c>
      <c r="Y4" s="21">
        <v>1</v>
      </c>
      <c r="AA4" s="229"/>
      <c r="AB4" s="229"/>
      <c r="AC4" s="229"/>
    </row>
    <row r="5" spans="1:29" ht="15.05" customHeight="1">
      <c r="A5" s="21" t="s">
        <v>565</v>
      </c>
      <c r="B5" s="235">
        <v>182</v>
      </c>
      <c r="C5" s="235">
        <v>27.1</v>
      </c>
      <c r="D5" s="235">
        <v>8.17</v>
      </c>
      <c r="E5" s="235">
        <v>0</v>
      </c>
      <c r="F5" s="235">
        <v>1.1100000000000001</v>
      </c>
      <c r="G5" s="235">
        <v>0</v>
      </c>
      <c r="H5" s="235">
        <v>20</v>
      </c>
      <c r="I5" s="235">
        <v>209</v>
      </c>
      <c r="J5" s="235">
        <v>0.14000000000000001</v>
      </c>
      <c r="K5" s="21">
        <v>0</v>
      </c>
      <c r="L5" s="235">
        <v>2.59</v>
      </c>
      <c r="M5" s="21">
        <v>0.14799999999999999</v>
      </c>
      <c r="N5" s="21">
        <v>3.4300000000000004E-2</v>
      </c>
      <c r="O5" s="235">
        <v>3.0000000000000001E-3</v>
      </c>
      <c r="P5" s="235">
        <v>1.2999999999999999E-3</v>
      </c>
      <c r="Q5" s="21"/>
      <c r="R5" s="230" t="s">
        <v>436</v>
      </c>
      <c r="S5" s="230" t="s">
        <v>375</v>
      </c>
      <c r="T5" s="230"/>
      <c r="U5" s="21">
        <v>0.7</v>
      </c>
      <c r="V5" s="21">
        <f t="shared" si="0"/>
        <v>44.89</v>
      </c>
      <c r="W5" s="21">
        <f t="shared" si="1"/>
        <v>1</v>
      </c>
      <c r="X5" s="21">
        <f t="shared" si="2"/>
        <v>0.7</v>
      </c>
      <c r="Y5" s="21">
        <v>1</v>
      </c>
      <c r="AA5" s="231"/>
      <c r="AB5" s="231"/>
      <c r="AC5" s="231"/>
    </row>
    <row r="6" spans="1:29" ht="15.05" customHeight="1">
      <c r="A6" s="21" t="s">
        <v>566</v>
      </c>
      <c r="B6" s="235">
        <v>114</v>
      </c>
      <c r="C6" s="235">
        <v>22.5</v>
      </c>
      <c r="D6" s="235">
        <v>2.5</v>
      </c>
      <c r="E6" s="235">
        <v>0.4</v>
      </c>
      <c r="F6" s="235">
        <v>1.06</v>
      </c>
      <c r="G6" s="235">
        <v>0</v>
      </c>
      <c r="H6" s="235">
        <v>7.33</v>
      </c>
      <c r="I6" s="235">
        <v>195</v>
      </c>
      <c r="J6" s="235">
        <v>0.13</v>
      </c>
      <c r="K6" s="21">
        <v>0</v>
      </c>
      <c r="L6" s="235">
        <v>0.86</v>
      </c>
      <c r="M6" s="21">
        <v>0.127</v>
      </c>
      <c r="N6" s="21">
        <v>3.2419999999999997E-2</v>
      </c>
      <c r="O6" s="235">
        <v>9.5E-4</v>
      </c>
      <c r="P6" s="235">
        <v>4.6999999999999999E-4</v>
      </c>
      <c r="Q6" s="21"/>
      <c r="R6" s="230" t="s">
        <v>437</v>
      </c>
      <c r="S6" s="230" t="s">
        <v>375</v>
      </c>
      <c r="T6" s="230"/>
      <c r="U6" s="21">
        <v>1.75</v>
      </c>
      <c r="V6" s="21">
        <f t="shared" si="0"/>
        <v>21.93</v>
      </c>
      <c r="W6" s="21">
        <f t="shared" si="1"/>
        <v>2.5</v>
      </c>
      <c r="X6" s="21">
        <f t="shared" si="2"/>
        <v>1.75</v>
      </c>
      <c r="Y6" s="21">
        <v>1</v>
      </c>
      <c r="AA6" s="231"/>
      <c r="AB6" s="231"/>
      <c r="AC6" s="231"/>
    </row>
    <row r="7" spans="1:29" ht="15.05" customHeight="1">
      <c r="A7" s="21" t="s">
        <v>567</v>
      </c>
      <c r="B7" s="235">
        <v>123</v>
      </c>
      <c r="C7" s="235">
        <v>25</v>
      </c>
      <c r="D7" s="235">
        <v>2.5</v>
      </c>
      <c r="E7" s="21">
        <v>1E-3</v>
      </c>
      <c r="F7" s="21">
        <v>1.1599999999999999</v>
      </c>
      <c r="G7" s="21">
        <v>0</v>
      </c>
      <c r="H7" s="21">
        <v>7.5</v>
      </c>
      <c r="I7" s="21">
        <v>200</v>
      </c>
      <c r="J7" s="21">
        <v>0.15</v>
      </c>
      <c r="K7" s="21">
        <v>0</v>
      </c>
      <c r="L7" s="21">
        <v>0</v>
      </c>
      <c r="M7" s="21">
        <v>0.05</v>
      </c>
      <c r="N7" s="21">
        <v>0.01</v>
      </c>
      <c r="O7" s="21">
        <v>0</v>
      </c>
      <c r="P7" s="21">
        <v>0</v>
      </c>
      <c r="Q7" s="21"/>
      <c r="R7" s="230" t="s">
        <v>438</v>
      </c>
      <c r="S7" s="230" t="s">
        <v>375</v>
      </c>
      <c r="T7" s="230"/>
      <c r="U7" s="21">
        <v>1.75</v>
      </c>
      <c r="V7" s="21">
        <f t="shared" si="0"/>
        <v>20.329999999999998</v>
      </c>
      <c r="W7" s="21">
        <f t="shared" si="1"/>
        <v>2.5</v>
      </c>
      <c r="X7" s="21">
        <f t="shared" si="2"/>
        <v>1.75</v>
      </c>
      <c r="Y7" s="21">
        <v>1</v>
      </c>
      <c r="AA7" s="231"/>
      <c r="AB7" s="231" t="s">
        <v>380</v>
      </c>
      <c r="AC7" s="231"/>
    </row>
    <row r="8" spans="1:29" ht="15.05" customHeight="1">
      <c r="A8" s="21" t="s">
        <v>562</v>
      </c>
      <c r="B8" s="235">
        <v>164</v>
      </c>
      <c r="C8" s="235">
        <v>24</v>
      </c>
      <c r="D8" s="235">
        <v>7.5</v>
      </c>
      <c r="E8" s="235">
        <v>0</v>
      </c>
      <c r="F8" s="235">
        <v>0.12</v>
      </c>
      <c r="G8" s="21">
        <v>0</v>
      </c>
      <c r="H8" s="21">
        <v>18</v>
      </c>
      <c r="I8" s="21">
        <v>170</v>
      </c>
      <c r="J8" s="21">
        <v>0.1</v>
      </c>
      <c r="K8" s="21">
        <v>0</v>
      </c>
      <c r="L8" s="21">
        <v>0</v>
      </c>
      <c r="M8" s="21">
        <v>0.2</v>
      </c>
      <c r="N8" s="21">
        <v>1.4999999999999999E-2</v>
      </c>
      <c r="O8" s="21">
        <v>2E-3</v>
      </c>
      <c r="P8" s="21">
        <v>7.0000000000000001E-3</v>
      </c>
      <c r="Q8" s="21"/>
      <c r="R8" s="230" t="s">
        <v>439</v>
      </c>
      <c r="S8" s="230" t="s">
        <v>375</v>
      </c>
      <c r="T8" s="230"/>
      <c r="U8" s="21">
        <v>0.7</v>
      </c>
      <c r="V8" s="21">
        <f t="shared" si="0"/>
        <v>45.73</v>
      </c>
      <c r="W8" s="21">
        <f t="shared" si="1"/>
        <v>1</v>
      </c>
      <c r="X8" s="21">
        <f t="shared" si="2"/>
        <v>0.7</v>
      </c>
      <c r="Y8" s="21">
        <v>1</v>
      </c>
      <c r="AA8" s="231"/>
      <c r="AB8" s="231"/>
      <c r="AC8" s="231"/>
    </row>
    <row r="9" spans="1:29" ht="15.05" customHeight="1">
      <c r="A9" s="21" t="s">
        <v>563</v>
      </c>
      <c r="B9" s="235">
        <v>172</v>
      </c>
      <c r="C9" s="235">
        <v>34</v>
      </c>
      <c r="D9" s="235">
        <v>4.05</v>
      </c>
      <c r="E9" s="21">
        <v>1E-3</v>
      </c>
      <c r="F9" s="235">
        <v>0.78</v>
      </c>
      <c r="G9" s="21">
        <v>0</v>
      </c>
      <c r="H9" s="21">
        <v>18</v>
      </c>
      <c r="I9" s="235">
        <v>171</v>
      </c>
      <c r="J9" s="235">
        <v>0.15</v>
      </c>
      <c r="K9" s="21">
        <v>0</v>
      </c>
      <c r="L9" s="21">
        <v>0</v>
      </c>
      <c r="M9" s="21">
        <v>9.4500000000000001E-2</v>
      </c>
      <c r="N9" s="21">
        <v>2.4E-2</v>
      </c>
      <c r="O9" s="235">
        <v>2.2000000000000001E-3</v>
      </c>
      <c r="P9" s="21">
        <v>7.7999999999999996E-3</v>
      </c>
      <c r="Q9" s="21"/>
      <c r="R9" s="230" t="s">
        <v>440</v>
      </c>
      <c r="S9" s="230" t="s">
        <v>375</v>
      </c>
      <c r="T9" s="230"/>
      <c r="U9" s="21">
        <v>1.3</v>
      </c>
      <c r="V9" s="21">
        <f t="shared" si="0"/>
        <v>23.55</v>
      </c>
      <c r="W9" s="21">
        <f t="shared" si="1"/>
        <v>1.9000000000000001</v>
      </c>
      <c r="X9" s="21">
        <f t="shared" si="2"/>
        <v>1.3</v>
      </c>
      <c r="Y9" s="21">
        <v>1</v>
      </c>
      <c r="AA9" s="231"/>
      <c r="AB9" s="231" t="s">
        <v>381</v>
      </c>
      <c r="AC9" s="231"/>
    </row>
    <row r="10" spans="1:29" ht="15.05" customHeight="1">
      <c r="A10" s="21" t="s">
        <v>848</v>
      </c>
      <c r="B10" s="235">
        <v>130</v>
      </c>
      <c r="C10" s="235">
        <v>21.9</v>
      </c>
      <c r="D10" s="235">
        <v>4.59</v>
      </c>
      <c r="E10" s="235">
        <v>0.3</v>
      </c>
      <c r="F10" s="235">
        <v>1.01</v>
      </c>
      <c r="G10" s="235">
        <v>0</v>
      </c>
      <c r="H10" s="235">
        <v>7</v>
      </c>
      <c r="I10" s="235">
        <v>184</v>
      </c>
      <c r="J10" s="235">
        <v>9.7000000000000003E-2</v>
      </c>
      <c r="K10" s="21">
        <v>0</v>
      </c>
      <c r="L10" s="235">
        <v>1.44</v>
      </c>
      <c r="M10" s="21">
        <v>0.15</v>
      </c>
      <c r="N10" s="21">
        <v>2.4E-2</v>
      </c>
      <c r="O10" s="235">
        <v>0</v>
      </c>
      <c r="P10" s="235">
        <v>0</v>
      </c>
      <c r="Q10" s="21"/>
      <c r="R10" s="230" t="s">
        <v>441</v>
      </c>
      <c r="S10" s="230" t="s">
        <v>375</v>
      </c>
      <c r="T10" s="230"/>
      <c r="U10" s="21">
        <v>0.8</v>
      </c>
      <c r="V10" s="21">
        <f t="shared" si="0"/>
        <v>35.31</v>
      </c>
      <c r="W10" s="21">
        <f t="shared" si="1"/>
        <v>1.2000000000000002</v>
      </c>
      <c r="X10" s="21">
        <f t="shared" si="2"/>
        <v>0.8</v>
      </c>
      <c r="Y10" s="21">
        <v>1</v>
      </c>
      <c r="AA10" s="231"/>
      <c r="AB10" s="231"/>
      <c r="AC10" s="231"/>
    </row>
    <row r="11" spans="1:29" ht="15.05" customHeight="1">
      <c r="A11" s="21" t="s">
        <v>849</v>
      </c>
      <c r="B11" s="235">
        <v>155</v>
      </c>
      <c r="C11" s="235">
        <v>25.5</v>
      </c>
      <c r="D11" s="235">
        <v>5.85</v>
      </c>
      <c r="E11" s="235">
        <v>0</v>
      </c>
      <c r="F11" s="235">
        <v>1.22</v>
      </c>
      <c r="G11" s="235">
        <v>0</v>
      </c>
      <c r="H11" s="235">
        <v>7</v>
      </c>
      <c r="I11" s="235">
        <v>180</v>
      </c>
      <c r="J11" s="235">
        <v>0.16</v>
      </c>
      <c r="K11" s="21">
        <v>0</v>
      </c>
      <c r="L11" s="235">
        <v>2.27</v>
      </c>
      <c r="M11" s="21">
        <v>0.21299999999999999</v>
      </c>
      <c r="N11" s="21">
        <v>4.48E-2</v>
      </c>
      <c r="O11" s="235">
        <v>5.8999999999999999E-3</v>
      </c>
      <c r="P11" s="21">
        <v>2.8999999999999998E-3</v>
      </c>
      <c r="Q11" s="21"/>
      <c r="R11" s="230" t="s">
        <v>442</v>
      </c>
      <c r="S11" s="230" t="s">
        <v>375</v>
      </c>
      <c r="T11" s="230"/>
      <c r="U11" s="21">
        <v>0.8</v>
      </c>
      <c r="V11" s="21">
        <f t="shared" si="0"/>
        <v>37.74</v>
      </c>
      <c r="W11" s="21">
        <f t="shared" si="1"/>
        <v>1.2000000000000002</v>
      </c>
      <c r="X11" s="21">
        <f t="shared" si="2"/>
        <v>0.8</v>
      </c>
      <c r="Y11" s="21">
        <v>1</v>
      </c>
      <c r="AA11" s="231"/>
      <c r="AB11" s="231" t="s">
        <v>382</v>
      </c>
      <c r="AC11" s="231"/>
    </row>
    <row r="12" spans="1:29" ht="15.05" customHeight="1">
      <c r="A12" s="21" t="s">
        <v>993</v>
      </c>
      <c r="B12" s="235">
        <v>171</v>
      </c>
      <c r="C12" s="235">
        <v>20</v>
      </c>
      <c r="D12" s="235">
        <v>10.1</v>
      </c>
      <c r="E12" s="21">
        <v>0.05</v>
      </c>
      <c r="F12" s="235">
        <v>0.95</v>
      </c>
      <c r="G12" s="235">
        <v>0</v>
      </c>
      <c r="H12" s="235">
        <v>12</v>
      </c>
      <c r="I12" s="235">
        <v>184</v>
      </c>
      <c r="J12" s="235">
        <v>0.16</v>
      </c>
      <c r="K12" s="21">
        <v>0</v>
      </c>
      <c r="L12" s="21">
        <v>0</v>
      </c>
      <c r="M12" s="21">
        <v>0.21</v>
      </c>
      <c r="N12" s="21">
        <v>5.0999999999999997E-2</v>
      </c>
      <c r="O12" s="235">
        <v>0</v>
      </c>
      <c r="P12" s="235">
        <v>0</v>
      </c>
      <c r="Q12" s="21"/>
      <c r="R12" s="230" t="s">
        <v>995</v>
      </c>
      <c r="S12" s="230" t="s">
        <v>375</v>
      </c>
      <c r="T12" s="230"/>
      <c r="U12" s="21">
        <v>0.5</v>
      </c>
      <c r="V12" s="21">
        <f t="shared" si="0"/>
        <v>59.06</v>
      </c>
      <c r="W12" s="21">
        <f t="shared" si="1"/>
        <v>0.7</v>
      </c>
      <c r="X12" s="21">
        <f t="shared" si="2"/>
        <v>0.5</v>
      </c>
      <c r="Y12" s="21">
        <v>1</v>
      </c>
      <c r="AA12" s="231"/>
      <c r="AB12" s="231"/>
      <c r="AC12" s="231"/>
    </row>
    <row r="13" spans="1:29" ht="15.05" customHeight="1">
      <c r="A13" s="21" t="s">
        <v>994</v>
      </c>
      <c r="B13" s="235">
        <v>155</v>
      </c>
      <c r="C13" s="235">
        <v>25.5</v>
      </c>
      <c r="D13" s="235">
        <v>5.85</v>
      </c>
      <c r="E13" s="235">
        <v>0</v>
      </c>
      <c r="F13" s="235">
        <v>1.22</v>
      </c>
      <c r="G13" s="235">
        <v>0</v>
      </c>
      <c r="H13" s="235">
        <v>7</v>
      </c>
      <c r="I13" s="235">
        <v>180</v>
      </c>
      <c r="J13" s="235">
        <v>0.16</v>
      </c>
      <c r="K13" s="21">
        <v>0</v>
      </c>
      <c r="L13" s="21">
        <v>2.27</v>
      </c>
      <c r="M13" s="21">
        <v>0.21299999999999999</v>
      </c>
      <c r="N13" s="21">
        <v>1.4999999999999999E-2</v>
      </c>
      <c r="O13" s="21">
        <v>5.8999999999999999E-3</v>
      </c>
      <c r="P13" s="21">
        <v>2E-3</v>
      </c>
      <c r="Q13" s="21"/>
      <c r="R13" s="230" t="s">
        <v>996</v>
      </c>
      <c r="S13" s="230" t="s">
        <v>375</v>
      </c>
      <c r="T13" s="230"/>
      <c r="U13" s="21">
        <v>0.5</v>
      </c>
      <c r="V13" s="21">
        <f t="shared" si="0"/>
        <v>37.74</v>
      </c>
      <c r="W13" s="21">
        <f t="shared" si="1"/>
        <v>0.7</v>
      </c>
      <c r="X13" s="21">
        <f t="shared" si="2"/>
        <v>0.5</v>
      </c>
      <c r="Y13" s="21">
        <v>1</v>
      </c>
      <c r="AA13" s="231"/>
      <c r="AB13" s="231"/>
      <c r="AC13" s="231"/>
    </row>
    <row r="14" spans="1:29" ht="15.05" customHeight="1">
      <c r="A14" s="21" t="s">
        <v>850</v>
      </c>
      <c r="B14" s="235">
        <v>209</v>
      </c>
      <c r="C14" s="235">
        <v>20.2</v>
      </c>
      <c r="D14" s="235">
        <v>14.1</v>
      </c>
      <c r="E14" s="235">
        <v>0.47</v>
      </c>
      <c r="F14" s="235">
        <v>0.9</v>
      </c>
      <c r="G14" s="235">
        <v>0</v>
      </c>
      <c r="H14" s="235">
        <v>9.33</v>
      </c>
      <c r="I14" s="235">
        <v>171</v>
      </c>
      <c r="J14" s="235">
        <v>0.1</v>
      </c>
      <c r="K14" s="235">
        <v>0</v>
      </c>
      <c r="L14" s="235">
        <v>4.6500000000000004</v>
      </c>
      <c r="M14" s="21">
        <v>0.33</v>
      </c>
      <c r="N14" s="21">
        <v>5.2000000000000005E-2</v>
      </c>
      <c r="O14" s="235">
        <v>2E-3</v>
      </c>
      <c r="P14" s="235">
        <v>1E-3</v>
      </c>
      <c r="Q14" s="21"/>
      <c r="R14" s="230" t="s">
        <v>443</v>
      </c>
      <c r="S14" s="230" t="s">
        <v>375</v>
      </c>
      <c r="T14" s="230"/>
      <c r="U14" s="21">
        <v>0.1</v>
      </c>
      <c r="V14" s="21">
        <f t="shared" si="0"/>
        <v>67.459999999999994</v>
      </c>
      <c r="W14" s="21">
        <f t="shared" si="1"/>
        <v>0.2</v>
      </c>
      <c r="X14" s="21">
        <f t="shared" si="2"/>
        <v>0.1</v>
      </c>
      <c r="Y14" s="21">
        <v>1</v>
      </c>
      <c r="AA14" s="231"/>
      <c r="AB14" s="231" t="s">
        <v>383</v>
      </c>
      <c r="AC14" s="231"/>
    </row>
    <row r="15" spans="1:29" ht="15.05" customHeight="1">
      <c r="A15" s="21" t="s">
        <v>851</v>
      </c>
      <c r="B15" s="235">
        <v>239</v>
      </c>
      <c r="C15" s="235">
        <v>23.6</v>
      </c>
      <c r="D15" s="235">
        <v>16.100000000000001</v>
      </c>
      <c r="E15" s="235">
        <v>0</v>
      </c>
      <c r="F15" s="235">
        <v>1.1599999999999999</v>
      </c>
      <c r="G15" s="235">
        <v>0</v>
      </c>
      <c r="H15" s="235">
        <v>15</v>
      </c>
      <c r="I15" s="235">
        <v>198</v>
      </c>
      <c r="J15" s="235">
        <v>0.21</v>
      </c>
      <c r="K15" s="21">
        <v>0</v>
      </c>
      <c r="L15" s="235">
        <v>5.93</v>
      </c>
      <c r="M15" s="21">
        <v>0.32300000000000001</v>
      </c>
      <c r="N15" s="21">
        <v>5.9000000000000004E-2</v>
      </c>
      <c r="O15" s="235">
        <v>3.0000000000000001E-3</v>
      </c>
      <c r="P15" s="235">
        <v>1E-3</v>
      </c>
      <c r="Q15" s="21"/>
      <c r="R15" s="230" t="s">
        <v>444</v>
      </c>
      <c r="S15" s="230" t="s">
        <v>375</v>
      </c>
      <c r="T15" s="230"/>
      <c r="U15" s="21">
        <v>0.1</v>
      </c>
      <c r="V15" s="21">
        <f t="shared" si="0"/>
        <v>67.36</v>
      </c>
      <c r="W15" s="21">
        <f t="shared" si="1"/>
        <v>0.2</v>
      </c>
      <c r="X15" s="21">
        <f t="shared" si="2"/>
        <v>0.1</v>
      </c>
      <c r="Y15" s="21">
        <v>1</v>
      </c>
      <c r="AA15" s="231"/>
      <c r="AB15" s="231" t="s">
        <v>384</v>
      </c>
      <c r="AC15" s="231"/>
    </row>
    <row r="16" spans="1:29" ht="15.05" customHeight="1">
      <c r="A16" s="21" t="s">
        <v>568</v>
      </c>
      <c r="B16" s="235">
        <v>126</v>
      </c>
      <c r="C16" s="235">
        <v>19.399999999999999</v>
      </c>
      <c r="D16" s="235">
        <v>5.33</v>
      </c>
      <c r="E16" s="235">
        <v>0</v>
      </c>
      <c r="F16" s="235">
        <v>1.1599999999999999</v>
      </c>
      <c r="G16" s="235">
        <v>0</v>
      </c>
      <c r="H16" s="235">
        <v>9</v>
      </c>
      <c r="I16" s="235">
        <v>199</v>
      </c>
      <c r="J16" s="235">
        <v>0.19</v>
      </c>
      <c r="K16" s="235">
        <v>0</v>
      </c>
      <c r="L16" s="235">
        <v>0.97</v>
      </c>
      <c r="M16" s="21">
        <v>0.39</v>
      </c>
      <c r="N16" s="21">
        <v>7.9000000000000001E-2</v>
      </c>
      <c r="O16" s="235">
        <v>0</v>
      </c>
      <c r="P16" s="235">
        <v>0</v>
      </c>
      <c r="Q16" s="21"/>
      <c r="R16" s="230" t="s">
        <v>445</v>
      </c>
      <c r="S16" s="230" t="s">
        <v>375</v>
      </c>
      <c r="T16" s="230"/>
      <c r="U16" s="21">
        <v>0.7</v>
      </c>
      <c r="V16" s="21">
        <f t="shared" si="0"/>
        <v>42.3</v>
      </c>
      <c r="W16" s="21">
        <f t="shared" si="1"/>
        <v>1</v>
      </c>
      <c r="X16" s="21">
        <f t="shared" si="2"/>
        <v>0.7</v>
      </c>
      <c r="Y16" s="21">
        <v>1</v>
      </c>
      <c r="AA16" s="231"/>
      <c r="AB16" s="231"/>
      <c r="AC16" s="231"/>
    </row>
    <row r="17" spans="1:29" ht="15.05" customHeight="1">
      <c r="A17" s="21" t="s">
        <v>569</v>
      </c>
      <c r="B17" s="235">
        <v>194</v>
      </c>
      <c r="C17" s="235">
        <v>23.3</v>
      </c>
      <c r="D17" s="235">
        <v>11.2</v>
      </c>
      <c r="E17" s="235">
        <v>0</v>
      </c>
      <c r="F17" s="235">
        <v>1.28</v>
      </c>
      <c r="G17" s="235">
        <v>0</v>
      </c>
      <c r="H17" s="235">
        <v>6.78</v>
      </c>
      <c r="I17" s="235">
        <v>203</v>
      </c>
      <c r="J17" s="235">
        <v>0.39</v>
      </c>
      <c r="K17" s="235">
        <v>0</v>
      </c>
      <c r="L17" s="235">
        <v>3.66</v>
      </c>
      <c r="M17" s="21">
        <v>0.93399999999999994</v>
      </c>
      <c r="N17" s="21">
        <v>4.9000000000000002E-2</v>
      </c>
      <c r="O17" s="235">
        <v>0</v>
      </c>
      <c r="P17" s="235">
        <v>0</v>
      </c>
      <c r="Q17" s="21"/>
      <c r="R17" s="230" t="s">
        <v>446</v>
      </c>
      <c r="S17" s="230" t="s">
        <v>375</v>
      </c>
      <c r="T17" s="230"/>
      <c r="U17" s="21">
        <v>0.5</v>
      </c>
      <c r="V17" s="21">
        <f t="shared" si="0"/>
        <v>57.73</v>
      </c>
      <c r="W17" s="21">
        <f t="shared" si="1"/>
        <v>0.7</v>
      </c>
      <c r="X17" s="21">
        <f t="shared" si="2"/>
        <v>0.5</v>
      </c>
      <c r="Y17" s="21">
        <v>1</v>
      </c>
      <c r="AA17" s="231"/>
      <c r="AB17" s="231" t="s">
        <v>385</v>
      </c>
      <c r="AC17" s="231"/>
    </row>
    <row r="18" spans="1:29" ht="15.05" customHeight="1">
      <c r="A18" s="21" t="s">
        <v>570</v>
      </c>
      <c r="B18" s="235">
        <v>121</v>
      </c>
      <c r="C18" s="235">
        <v>22.2</v>
      </c>
      <c r="D18" s="235">
        <v>3.58</v>
      </c>
      <c r="E18" s="21">
        <v>1E-3</v>
      </c>
      <c r="F18" s="21">
        <v>1</v>
      </c>
      <c r="G18" s="21">
        <v>0</v>
      </c>
      <c r="H18" s="21">
        <v>9</v>
      </c>
      <c r="I18" s="21">
        <v>170</v>
      </c>
      <c r="J18" s="21">
        <v>0.15</v>
      </c>
      <c r="K18" s="21">
        <v>0</v>
      </c>
      <c r="L18" s="21">
        <v>0.79</v>
      </c>
      <c r="M18" s="21">
        <v>0.33400000000000002</v>
      </c>
      <c r="N18" s="21">
        <v>0.26</v>
      </c>
      <c r="O18" s="21">
        <v>0</v>
      </c>
      <c r="P18" s="21">
        <v>0</v>
      </c>
      <c r="Q18" s="21"/>
      <c r="R18" s="230" t="s">
        <v>447</v>
      </c>
      <c r="S18" s="230" t="s">
        <v>375</v>
      </c>
      <c r="T18" s="230"/>
      <c r="U18" s="21">
        <v>0.9</v>
      </c>
      <c r="V18" s="21">
        <f t="shared" si="0"/>
        <v>29.59</v>
      </c>
      <c r="W18" s="21">
        <f t="shared" si="1"/>
        <v>1.3</v>
      </c>
      <c r="X18" s="21">
        <f t="shared" si="2"/>
        <v>0.9</v>
      </c>
      <c r="Y18" s="21">
        <v>1</v>
      </c>
      <c r="AA18" s="231"/>
      <c r="AB18" s="231"/>
      <c r="AC18" s="231"/>
    </row>
    <row r="19" spans="1:29" ht="15.05" customHeight="1">
      <c r="A19" s="21" t="s">
        <v>571</v>
      </c>
      <c r="B19" s="235">
        <v>163</v>
      </c>
      <c r="C19" s="235">
        <v>26.6</v>
      </c>
      <c r="D19" s="235">
        <v>6.27</v>
      </c>
      <c r="E19" s="21">
        <v>1E-3</v>
      </c>
      <c r="F19" s="21">
        <v>1</v>
      </c>
      <c r="G19" s="21">
        <v>0</v>
      </c>
      <c r="H19" s="21">
        <v>10</v>
      </c>
      <c r="I19" s="21">
        <v>185</v>
      </c>
      <c r="J19" s="21">
        <v>0.18</v>
      </c>
      <c r="K19" s="21">
        <v>0</v>
      </c>
      <c r="L19" s="21">
        <v>1.54</v>
      </c>
      <c r="M19" s="21">
        <v>0.50700000000000001</v>
      </c>
      <c r="N19" s="21">
        <v>0.4</v>
      </c>
      <c r="O19" s="21">
        <v>0</v>
      </c>
      <c r="P19" s="21">
        <v>0</v>
      </c>
      <c r="Q19" s="21"/>
      <c r="R19" s="230" t="s">
        <v>448</v>
      </c>
      <c r="S19" s="230" t="s">
        <v>375</v>
      </c>
      <c r="T19" s="230"/>
      <c r="U19" s="21">
        <v>0.8</v>
      </c>
      <c r="V19" s="21">
        <f t="shared" si="0"/>
        <v>38.47</v>
      </c>
      <c r="W19" s="21">
        <f t="shared" si="1"/>
        <v>1.2000000000000002</v>
      </c>
      <c r="X19" s="21">
        <f t="shared" si="2"/>
        <v>0.8</v>
      </c>
      <c r="Y19" s="21">
        <v>1</v>
      </c>
      <c r="AA19" s="231"/>
      <c r="AB19" s="231"/>
      <c r="AC19" s="231"/>
    </row>
    <row r="20" spans="1:29" ht="15.05" customHeight="1">
      <c r="A20" s="21" t="s">
        <v>572</v>
      </c>
      <c r="B20" s="235">
        <v>109</v>
      </c>
      <c r="C20" s="235">
        <v>24.1</v>
      </c>
      <c r="D20" s="235">
        <v>1.22</v>
      </c>
      <c r="E20" s="235">
        <v>0.51</v>
      </c>
      <c r="F20" s="235">
        <v>1.1399999999999999</v>
      </c>
      <c r="G20" s="235">
        <v>0</v>
      </c>
      <c r="H20" s="235">
        <v>16.399999999999999</v>
      </c>
      <c r="I20" s="235">
        <v>201</v>
      </c>
      <c r="J20" s="235">
        <v>0.2</v>
      </c>
      <c r="K20" s="235">
        <v>0.09</v>
      </c>
      <c r="L20" s="235">
        <v>0.23</v>
      </c>
      <c r="M20" s="21">
        <v>0.2</v>
      </c>
      <c r="N20" s="21">
        <v>1.0999999999999999E-2</v>
      </c>
      <c r="O20" s="235">
        <v>0</v>
      </c>
      <c r="P20" s="235">
        <v>2E-3</v>
      </c>
      <c r="Q20" s="21"/>
      <c r="R20" s="230" t="s">
        <v>449</v>
      </c>
      <c r="S20" s="230" t="s">
        <v>375</v>
      </c>
      <c r="T20" s="230"/>
      <c r="U20" s="21">
        <v>1.75</v>
      </c>
      <c r="V20" s="21">
        <f t="shared" si="0"/>
        <v>11.19</v>
      </c>
      <c r="W20" s="21">
        <f t="shared" si="1"/>
        <v>2.5</v>
      </c>
      <c r="X20" s="21">
        <f t="shared" si="2"/>
        <v>1.75</v>
      </c>
      <c r="Y20" s="21">
        <v>1</v>
      </c>
      <c r="AA20" s="114"/>
      <c r="AB20" s="114"/>
      <c r="AC20" s="114"/>
    </row>
    <row r="21" spans="1:29" ht="15.05" customHeight="1">
      <c r="A21" s="21" t="s">
        <v>573</v>
      </c>
      <c r="B21" s="235">
        <v>124</v>
      </c>
      <c r="C21" s="235">
        <v>28.5</v>
      </c>
      <c r="D21" s="235">
        <v>1.0900000000000001</v>
      </c>
      <c r="E21" s="235">
        <v>0</v>
      </c>
      <c r="F21" s="235">
        <v>1.48</v>
      </c>
      <c r="G21" s="235">
        <v>0</v>
      </c>
      <c r="H21" s="235">
        <v>5.42</v>
      </c>
      <c r="I21" s="235">
        <v>293</v>
      </c>
      <c r="J21" s="235">
        <v>0.16</v>
      </c>
      <c r="K21" s="21">
        <v>0</v>
      </c>
      <c r="L21" s="21">
        <v>0</v>
      </c>
      <c r="M21" s="21">
        <v>0.21</v>
      </c>
      <c r="N21" s="21">
        <v>1.6E-2</v>
      </c>
      <c r="O21" s="21">
        <v>0</v>
      </c>
      <c r="P21" s="21">
        <v>0</v>
      </c>
      <c r="Q21" s="21"/>
      <c r="R21" s="230" t="s">
        <v>450</v>
      </c>
      <c r="S21" s="230" t="s">
        <v>375</v>
      </c>
      <c r="T21" s="230"/>
      <c r="U21" s="21">
        <v>2</v>
      </c>
      <c r="V21" s="21">
        <f t="shared" si="0"/>
        <v>8.7899999999999991</v>
      </c>
      <c r="W21" s="21">
        <f t="shared" si="1"/>
        <v>2.8</v>
      </c>
      <c r="X21" s="21">
        <f t="shared" si="2"/>
        <v>2</v>
      </c>
      <c r="Y21" s="21">
        <v>1</v>
      </c>
      <c r="AA21" s="114"/>
      <c r="AB21" s="114"/>
      <c r="AC21" s="114"/>
    </row>
    <row r="22" spans="1:29" ht="15.05" customHeight="1">
      <c r="A22" s="21" t="s">
        <v>1128</v>
      </c>
      <c r="B22" s="235">
        <v>109</v>
      </c>
      <c r="C22" s="235">
        <v>21.3</v>
      </c>
      <c r="D22" s="235">
        <v>2.5</v>
      </c>
      <c r="E22" s="235">
        <v>0.4</v>
      </c>
      <c r="F22" s="235">
        <v>1.03</v>
      </c>
      <c r="G22" s="235">
        <v>0</v>
      </c>
      <c r="H22" s="235">
        <v>11</v>
      </c>
      <c r="I22" s="235">
        <v>176</v>
      </c>
      <c r="J22" s="235">
        <v>0.31</v>
      </c>
      <c r="K22" s="235">
        <v>0.05</v>
      </c>
      <c r="L22" s="21">
        <v>0</v>
      </c>
      <c r="M22" s="21">
        <v>0</v>
      </c>
      <c r="N22" s="21">
        <v>3.0000000000000001E-3</v>
      </c>
      <c r="O22" s="235">
        <v>1E-3</v>
      </c>
      <c r="P22" s="235">
        <v>2E-3</v>
      </c>
      <c r="Q22" s="21"/>
      <c r="R22" s="230" t="s">
        <v>1130</v>
      </c>
      <c r="S22" s="230" t="s">
        <v>375</v>
      </c>
      <c r="T22" s="230" t="str">
        <f>"
Cuisse de dinde : ne pas oublier de désosser !"</f>
        <v xml:space="preserve">
Cuisse de dinde : ne pas oublier de désosser !</v>
      </c>
      <c r="U22" s="21">
        <v>1.75</v>
      </c>
      <c r="V22" s="21">
        <f t="shared" si="0"/>
        <v>22.94</v>
      </c>
      <c r="W22" s="21">
        <f t="shared" si="1"/>
        <v>2.5</v>
      </c>
      <c r="X22" s="21">
        <f t="shared" si="2"/>
        <v>1.75</v>
      </c>
      <c r="Y22" s="21">
        <v>1</v>
      </c>
      <c r="AA22" s="114"/>
      <c r="AB22" s="114"/>
      <c r="AC22" s="114"/>
    </row>
    <row r="23" spans="1:29" ht="15.05" customHeight="1">
      <c r="A23" s="21" t="s">
        <v>1129</v>
      </c>
      <c r="B23" s="235">
        <v>132</v>
      </c>
      <c r="C23" s="235">
        <v>23.4</v>
      </c>
      <c r="D23" s="235">
        <v>4.3099999999999996</v>
      </c>
      <c r="E23" s="235">
        <v>0</v>
      </c>
      <c r="F23" s="235">
        <v>1.0900000000000001</v>
      </c>
      <c r="G23" s="235">
        <v>0</v>
      </c>
      <c r="H23" s="235">
        <v>10.5</v>
      </c>
      <c r="I23" s="235">
        <v>167</v>
      </c>
      <c r="J23" s="235">
        <v>0.25</v>
      </c>
      <c r="K23" s="235">
        <v>0</v>
      </c>
      <c r="L23" s="235">
        <v>1.17</v>
      </c>
      <c r="M23" s="21">
        <v>1.24</v>
      </c>
      <c r="N23" s="21">
        <v>0.214</v>
      </c>
      <c r="O23" s="235">
        <v>3.5999999999999997E-2</v>
      </c>
      <c r="P23" s="235">
        <v>0.12</v>
      </c>
      <c r="Q23" s="21"/>
      <c r="R23" s="230" t="s">
        <v>1131</v>
      </c>
      <c r="S23" s="230" t="s">
        <v>375</v>
      </c>
      <c r="T23" s="230" t="str">
        <f>"
Cuisse de dinde : ne pas oublier de désosser !"</f>
        <v xml:space="preserve">
Cuisse de dinde : ne pas oublier de désosser !</v>
      </c>
      <c r="U23" s="21">
        <v>1.75</v>
      </c>
      <c r="V23" s="21">
        <f t="shared" si="0"/>
        <v>32.65</v>
      </c>
      <c r="W23" s="21">
        <f t="shared" si="1"/>
        <v>2.5</v>
      </c>
      <c r="X23" s="21">
        <f t="shared" si="2"/>
        <v>1.75</v>
      </c>
      <c r="Y23" s="21">
        <v>1</v>
      </c>
      <c r="AA23" s="114"/>
      <c r="AB23" s="114"/>
      <c r="AC23" s="114"/>
    </row>
    <row r="24" spans="1:29" ht="15.05" customHeight="1">
      <c r="A24" s="21" t="s">
        <v>574</v>
      </c>
      <c r="B24" s="235">
        <v>189</v>
      </c>
      <c r="C24" s="235">
        <v>20.399999999999999</v>
      </c>
      <c r="D24" s="235">
        <v>11.6</v>
      </c>
      <c r="E24" s="235">
        <v>0.66</v>
      </c>
      <c r="F24" s="235">
        <v>0.9</v>
      </c>
      <c r="G24" s="235">
        <v>0</v>
      </c>
      <c r="H24" s="235">
        <v>10.3</v>
      </c>
      <c r="I24" s="235">
        <v>212</v>
      </c>
      <c r="J24" s="235">
        <v>0.14000000000000001</v>
      </c>
      <c r="K24" s="235">
        <v>0</v>
      </c>
      <c r="L24" s="235">
        <v>0.71</v>
      </c>
      <c r="M24" s="21">
        <v>0.86199999999999999</v>
      </c>
      <c r="N24" s="21">
        <v>0.28000000000000003</v>
      </c>
      <c r="O24" s="235">
        <v>0</v>
      </c>
      <c r="P24" s="21">
        <v>0</v>
      </c>
      <c r="Q24" s="21"/>
      <c r="R24" s="230" t="s">
        <v>451</v>
      </c>
      <c r="S24" s="230" t="s">
        <v>375</v>
      </c>
      <c r="T24" s="230"/>
      <c r="U24" s="21">
        <v>0.1</v>
      </c>
      <c r="V24" s="21">
        <f t="shared" si="0"/>
        <v>61.38</v>
      </c>
      <c r="W24" s="21">
        <f t="shared" si="1"/>
        <v>0.2</v>
      </c>
      <c r="X24" s="21">
        <f t="shared" si="2"/>
        <v>0.1</v>
      </c>
      <c r="Y24" s="21">
        <v>1</v>
      </c>
      <c r="AA24" s="114"/>
      <c r="AB24" s="114"/>
      <c r="AC24" s="114"/>
    </row>
    <row r="25" spans="1:29" ht="15.05" customHeight="1">
      <c r="A25" s="21" t="s">
        <v>575</v>
      </c>
      <c r="B25" s="235">
        <v>167</v>
      </c>
      <c r="C25" s="235">
        <v>20.5</v>
      </c>
      <c r="D25" s="235">
        <v>9.1999999999999993</v>
      </c>
      <c r="E25" s="235">
        <v>0.5</v>
      </c>
      <c r="F25" s="235">
        <v>1.1000000000000001</v>
      </c>
      <c r="G25" s="235">
        <v>0</v>
      </c>
      <c r="H25" s="235">
        <v>13.5</v>
      </c>
      <c r="I25" s="235">
        <v>200</v>
      </c>
      <c r="J25" s="235">
        <v>0.16</v>
      </c>
      <c r="K25" s="235">
        <v>0</v>
      </c>
      <c r="L25" s="235">
        <v>1.84</v>
      </c>
      <c r="M25" s="21">
        <v>1.8820000000000001</v>
      </c>
      <c r="N25" s="21">
        <v>0.18</v>
      </c>
      <c r="O25" s="21">
        <v>0</v>
      </c>
      <c r="P25" s="21">
        <v>0</v>
      </c>
      <c r="Q25" s="21"/>
      <c r="R25" s="230" t="s">
        <v>452</v>
      </c>
      <c r="S25" s="230" t="s">
        <v>375</v>
      </c>
      <c r="T25" s="230"/>
      <c r="U25" s="21">
        <v>0.1</v>
      </c>
      <c r="V25" s="21">
        <f t="shared" si="0"/>
        <v>55.09</v>
      </c>
      <c r="W25" s="21">
        <f t="shared" si="1"/>
        <v>0.2</v>
      </c>
      <c r="X25" s="21">
        <f t="shared" si="2"/>
        <v>0.1</v>
      </c>
      <c r="Y25" s="21">
        <v>1</v>
      </c>
      <c r="AA25" s="114"/>
      <c r="AB25" s="114"/>
      <c r="AC25" s="114"/>
    </row>
    <row r="26" spans="1:29" ht="15.05" customHeight="1">
      <c r="A26" s="21" t="s">
        <v>576</v>
      </c>
      <c r="B26" s="235">
        <v>178</v>
      </c>
      <c r="C26" s="235">
        <v>18.899999999999999</v>
      </c>
      <c r="D26" s="235">
        <v>11.2</v>
      </c>
      <c r="E26" s="235">
        <v>0.38</v>
      </c>
      <c r="F26" s="235">
        <v>0.92</v>
      </c>
      <c r="G26" s="235">
        <v>0</v>
      </c>
      <c r="H26" s="235">
        <v>10.7</v>
      </c>
      <c r="I26" s="235">
        <v>191</v>
      </c>
      <c r="J26" s="235">
        <v>0.12</v>
      </c>
      <c r="K26" s="21">
        <v>0</v>
      </c>
      <c r="L26" s="235">
        <v>4.47</v>
      </c>
      <c r="M26" s="21">
        <v>1.07</v>
      </c>
      <c r="N26" s="21">
        <v>5.7000000000000002E-2</v>
      </c>
      <c r="O26" s="235">
        <v>0</v>
      </c>
      <c r="P26" s="235">
        <v>3.0000000000000001E-3</v>
      </c>
      <c r="Q26" s="21"/>
      <c r="R26" s="230" t="s">
        <v>453</v>
      </c>
      <c r="S26" s="230" t="s">
        <v>375</v>
      </c>
      <c r="T26" s="230"/>
      <c r="U26" s="21">
        <v>0.25</v>
      </c>
      <c r="V26" s="21">
        <f t="shared" ref="V26:V31" si="3">ROUND(D26*1000/B26,2)</f>
        <v>62.92</v>
      </c>
      <c r="W26" s="21">
        <f t="shared" ref="W26:W31" si="4">ROUNDUP(U26*1.4,1)</f>
        <v>0.4</v>
      </c>
      <c r="X26" s="21">
        <f t="shared" ref="X26:X31" si="5">U26</f>
        <v>0.25</v>
      </c>
      <c r="Y26" s="21">
        <v>1</v>
      </c>
      <c r="AA26" s="114"/>
      <c r="AB26" s="114"/>
      <c r="AC26" s="114"/>
    </row>
    <row r="27" spans="1:29" ht="15.05" customHeight="1">
      <c r="A27" s="21" t="s">
        <v>577</v>
      </c>
      <c r="B27" s="235">
        <v>253</v>
      </c>
      <c r="C27" s="235">
        <v>30</v>
      </c>
      <c r="D27" s="235">
        <v>14.8</v>
      </c>
      <c r="E27" s="235">
        <v>0</v>
      </c>
      <c r="F27" s="235">
        <v>1.18</v>
      </c>
      <c r="G27" s="235">
        <v>0</v>
      </c>
      <c r="H27" s="235">
        <v>18</v>
      </c>
      <c r="I27" s="235">
        <v>195</v>
      </c>
      <c r="J27" s="235">
        <v>0.12</v>
      </c>
      <c r="K27" s="21">
        <v>0</v>
      </c>
      <c r="L27" s="235">
        <v>5.76</v>
      </c>
      <c r="M27" s="21">
        <v>1.2449999999999999</v>
      </c>
      <c r="N27" s="21">
        <v>5.8999999999999997E-2</v>
      </c>
      <c r="O27" s="235">
        <v>0</v>
      </c>
      <c r="P27" s="235">
        <v>0</v>
      </c>
      <c r="Q27" s="21"/>
      <c r="R27" s="230" t="s">
        <v>1046</v>
      </c>
      <c r="S27" s="230" t="s">
        <v>375</v>
      </c>
      <c r="T27" s="230"/>
      <c r="U27" s="21">
        <v>0.5</v>
      </c>
      <c r="V27" s="21">
        <f t="shared" si="3"/>
        <v>58.5</v>
      </c>
      <c r="W27" s="21">
        <f t="shared" si="4"/>
        <v>0.7</v>
      </c>
      <c r="X27" s="21">
        <f t="shared" si="5"/>
        <v>0.5</v>
      </c>
      <c r="Y27" s="21">
        <v>1</v>
      </c>
      <c r="AA27" s="114"/>
      <c r="AB27" s="114"/>
      <c r="AC27" s="114"/>
    </row>
    <row r="28" spans="1:29" ht="15.05" customHeight="1">
      <c r="A28" s="21" t="s">
        <v>1084</v>
      </c>
      <c r="B28" s="235">
        <v>178</v>
      </c>
      <c r="C28" s="235">
        <v>18.899999999999999</v>
      </c>
      <c r="D28" s="235">
        <v>11.2</v>
      </c>
      <c r="E28" s="235">
        <v>0.38</v>
      </c>
      <c r="F28" s="235">
        <v>0.92</v>
      </c>
      <c r="G28" s="235">
        <v>0</v>
      </c>
      <c r="H28" s="235">
        <v>10.7</v>
      </c>
      <c r="I28" s="235">
        <v>191</v>
      </c>
      <c r="J28" s="235">
        <v>0.12</v>
      </c>
      <c r="K28" s="21">
        <v>0</v>
      </c>
      <c r="L28" s="235">
        <v>4.47</v>
      </c>
      <c r="M28" s="21">
        <v>1.07</v>
      </c>
      <c r="N28" s="21">
        <v>5.7000000000000002E-2</v>
      </c>
      <c r="O28" s="235">
        <v>0</v>
      </c>
      <c r="P28" s="235">
        <v>3.0000000000000001E-3</v>
      </c>
      <c r="Q28" s="21"/>
      <c r="R28" s="230" t="s">
        <v>1044</v>
      </c>
      <c r="S28" s="230" t="s">
        <v>375</v>
      </c>
      <c r="T28" s="230"/>
      <c r="U28" s="21">
        <v>0.5</v>
      </c>
      <c r="V28" s="21">
        <f t="shared" si="3"/>
        <v>62.92</v>
      </c>
      <c r="W28" s="21">
        <f t="shared" si="4"/>
        <v>0.7</v>
      </c>
      <c r="X28" s="21">
        <f t="shared" si="5"/>
        <v>0.5</v>
      </c>
      <c r="Y28" s="21">
        <v>1</v>
      </c>
      <c r="AA28" s="114"/>
      <c r="AB28" s="114"/>
      <c r="AC28" s="114"/>
    </row>
    <row r="29" spans="1:29" ht="15.05" customHeight="1">
      <c r="A29" s="21" t="s">
        <v>1085</v>
      </c>
      <c r="B29" s="235">
        <v>253</v>
      </c>
      <c r="C29" s="235">
        <v>30</v>
      </c>
      <c r="D29" s="235">
        <v>14.8</v>
      </c>
      <c r="E29" s="235">
        <v>0</v>
      </c>
      <c r="F29" s="235">
        <v>1.18</v>
      </c>
      <c r="G29" s="235">
        <v>0</v>
      </c>
      <c r="H29" s="235">
        <v>18</v>
      </c>
      <c r="I29" s="235">
        <v>195</v>
      </c>
      <c r="J29" s="235">
        <v>0.12</v>
      </c>
      <c r="K29" s="21">
        <v>0</v>
      </c>
      <c r="L29" s="235">
        <v>5.76</v>
      </c>
      <c r="M29" s="21">
        <v>1.2449999999999999</v>
      </c>
      <c r="N29" s="21">
        <v>5.8999999999999997E-2</v>
      </c>
      <c r="O29" s="235">
        <v>0</v>
      </c>
      <c r="P29" s="235">
        <v>0</v>
      </c>
      <c r="Q29" s="21"/>
      <c r="R29" s="230" t="s">
        <v>1045</v>
      </c>
      <c r="S29" s="230" t="s">
        <v>375</v>
      </c>
      <c r="T29" s="230"/>
      <c r="U29" s="21">
        <v>0.25</v>
      </c>
      <c r="V29" s="21">
        <f t="shared" si="3"/>
        <v>58.5</v>
      </c>
      <c r="W29" s="21">
        <f t="shared" si="4"/>
        <v>0.4</v>
      </c>
      <c r="X29" s="21">
        <f t="shared" si="5"/>
        <v>0.25</v>
      </c>
      <c r="Y29" s="21">
        <v>1</v>
      </c>
      <c r="AA29" s="114"/>
      <c r="AB29" s="114"/>
      <c r="AC29" s="114">
        <v>2</v>
      </c>
    </row>
    <row r="30" spans="1:29" ht="15.05" customHeight="1">
      <c r="A30" s="21" t="s">
        <v>852</v>
      </c>
      <c r="B30" s="235">
        <v>117</v>
      </c>
      <c r="C30" s="235">
        <v>21.2</v>
      </c>
      <c r="D30" s="235">
        <v>3.6</v>
      </c>
      <c r="E30" s="235">
        <v>0</v>
      </c>
      <c r="F30" s="235">
        <v>1.1000000000000001</v>
      </c>
      <c r="G30" s="235">
        <v>0</v>
      </c>
      <c r="H30" s="235">
        <v>6.38</v>
      </c>
      <c r="I30" s="235">
        <v>237</v>
      </c>
      <c r="J30" s="235">
        <v>0.18</v>
      </c>
      <c r="K30" s="235">
        <v>0</v>
      </c>
      <c r="L30" s="235">
        <v>1.36</v>
      </c>
      <c r="M30" s="21">
        <v>0.36</v>
      </c>
      <c r="N30" s="21">
        <v>0.02</v>
      </c>
      <c r="O30" s="235">
        <v>0</v>
      </c>
      <c r="P30" s="235">
        <v>0</v>
      </c>
      <c r="Q30" s="21"/>
      <c r="R30" s="230" t="s">
        <v>454</v>
      </c>
      <c r="S30" s="230" t="s">
        <v>375</v>
      </c>
      <c r="T30" s="230"/>
      <c r="U30" s="21">
        <v>0.9</v>
      </c>
      <c r="V30" s="21">
        <f t="shared" si="3"/>
        <v>30.77</v>
      </c>
      <c r="W30" s="21">
        <f t="shared" si="4"/>
        <v>1.3</v>
      </c>
      <c r="X30" s="21">
        <f t="shared" si="5"/>
        <v>0.9</v>
      </c>
      <c r="Y30" s="21">
        <v>1</v>
      </c>
      <c r="AA30" s="114"/>
      <c r="AB30" s="114"/>
      <c r="AC30" s="114"/>
    </row>
    <row r="31" spans="1:29" ht="15.05" customHeight="1">
      <c r="A31" s="21" t="s">
        <v>853</v>
      </c>
      <c r="B31" s="235">
        <v>198</v>
      </c>
      <c r="C31" s="235">
        <v>28.3</v>
      </c>
      <c r="D31" s="235">
        <v>9.39</v>
      </c>
      <c r="E31" s="235">
        <v>0</v>
      </c>
      <c r="F31" s="235">
        <v>1.88</v>
      </c>
      <c r="G31" s="235">
        <v>0</v>
      </c>
      <c r="H31" s="235">
        <v>5.5</v>
      </c>
      <c r="I31" s="235">
        <v>281</v>
      </c>
      <c r="J31" s="235">
        <v>0.15</v>
      </c>
      <c r="K31" s="21">
        <v>0</v>
      </c>
      <c r="L31" s="21">
        <v>0</v>
      </c>
      <c r="M31" s="21">
        <v>1.2999999999999999E-2</v>
      </c>
      <c r="N31" s="21">
        <v>0</v>
      </c>
      <c r="O31" s="21">
        <v>0</v>
      </c>
      <c r="P31" s="21">
        <v>0</v>
      </c>
      <c r="Q31" s="21"/>
      <c r="R31" s="230" t="s">
        <v>455</v>
      </c>
      <c r="S31" s="230" t="s">
        <v>375</v>
      </c>
      <c r="T31" s="230"/>
      <c r="U31" s="21">
        <v>0.7</v>
      </c>
      <c r="V31" s="21">
        <f t="shared" si="3"/>
        <v>47.42</v>
      </c>
      <c r="W31" s="21">
        <f t="shared" si="4"/>
        <v>1</v>
      </c>
      <c r="X31" s="21">
        <f t="shared" si="5"/>
        <v>0.7</v>
      </c>
      <c r="Y31" s="21">
        <v>1</v>
      </c>
      <c r="AA31" s="114"/>
      <c r="AB31" s="114"/>
      <c r="AC31" s="114"/>
    </row>
    <row r="32" spans="1:29" ht="15.05" customHeight="1">
      <c r="A32" s="21" t="s">
        <v>845</v>
      </c>
      <c r="B32" s="235">
        <v>114</v>
      </c>
      <c r="C32" s="235">
        <v>19.3</v>
      </c>
      <c r="D32" s="235">
        <v>4.05</v>
      </c>
      <c r="E32" s="235">
        <v>0</v>
      </c>
      <c r="F32" s="235">
        <v>0.98</v>
      </c>
      <c r="G32" s="235">
        <v>0</v>
      </c>
      <c r="H32" s="235">
        <v>10.3</v>
      </c>
      <c r="I32" s="235">
        <v>173</v>
      </c>
      <c r="J32" s="235">
        <v>0.23</v>
      </c>
      <c r="K32" s="21">
        <v>0</v>
      </c>
      <c r="L32" s="235">
        <v>1.02</v>
      </c>
      <c r="M32" s="21">
        <v>0.62</v>
      </c>
      <c r="N32" s="21">
        <v>6.0999999999999999E-2</v>
      </c>
      <c r="O32" s="235">
        <v>8.0000000000000002E-3</v>
      </c>
      <c r="P32" s="235">
        <v>2.8000000000000001E-2</v>
      </c>
      <c r="Q32" s="21"/>
      <c r="R32" s="230" t="s">
        <v>612</v>
      </c>
      <c r="S32" s="230" t="s">
        <v>847</v>
      </c>
      <c r="T32" s="230" t="str">
        <f>"
Cuisse de poulet : ne pas oublier de désosser !"</f>
        <v xml:space="preserve">
Cuisse de poulet : ne pas oublier de désosser !</v>
      </c>
      <c r="U32" s="21">
        <v>0.8</v>
      </c>
      <c r="V32" s="21">
        <f t="shared" ref="V32:V41" si="6">ROUND(D32*1000/B32,2)</f>
        <v>35.53</v>
      </c>
      <c r="W32" s="21">
        <f t="shared" ref="W32:W40" si="7">ROUNDUP(U32*1.4,1)</f>
        <v>1.2000000000000002</v>
      </c>
      <c r="X32" s="21">
        <f t="shared" ref="X32:X40" si="8">U32</f>
        <v>0.8</v>
      </c>
      <c r="Y32" s="21">
        <v>1</v>
      </c>
      <c r="AA32" s="114"/>
      <c r="AB32" s="114"/>
      <c r="AC32" s="114"/>
    </row>
    <row r="33" spans="1:29" ht="15.05" customHeight="1">
      <c r="A33" s="21" t="s">
        <v>846</v>
      </c>
      <c r="B33" s="235">
        <v>188</v>
      </c>
      <c r="C33" s="235">
        <v>24.8</v>
      </c>
      <c r="D33" s="235">
        <v>9.52</v>
      </c>
      <c r="E33" s="235">
        <v>0.7</v>
      </c>
      <c r="F33" s="235">
        <v>1.03</v>
      </c>
      <c r="G33" s="235">
        <v>0</v>
      </c>
      <c r="H33" s="235">
        <v>5.8</v>
      </c>
      <c r="I33" s="235">
        <v>164</v>
      </c>
      <c r="J33" s="235">
        <v>0.23</v>
      </c>
      <c r="K33" s="21">
        <v>0.35</v>
      </c>
      <c r="L33" s="235">
        <v>3.25</v>
      </c>
      <c r="M33" s="21">
        <v>1.6700000000000002</v>
      </c>
      <c r="N33" s="21">
        <v>0.17</v>
      </c>
      <c r="O33" s="21">
        <v>0.01</v>
      </c>
      <c r="P33" s="21">
        <v>0.01</v>
      </c>
      <c r="Q33" s="21"/>
      <c r="R33" s="230" t="s">
        <v>613</v>
      </c>
      <c r="S33" s="230" t="s">
        <v>847</v>
      </c>
      <c r="T33" s="230" t="str">
        <f>"
Cuisse de poulet : ne pas oublier de désosser !"</f>
        <v xml:space="preserve">
Cuisse de poulet : ne pas oublier de désosser !</v>
      </c>
      <c r="U33" s="21">
        <v>0.7</v>
      </c>
      <c r="V33" s="21">
        <f t="shared" si="6"/>
        <v>50.64</v>
      </c>
      <c r="W33" s="21">
        <f t="shared" si="7"/>
        <v>1</v>
      </c>
      <c r="X33" s="21">
        <f t="shared" si="8"/>
        <v>0.7</v>
      </c>
      <c r="Y33" s="21">
        <v>1</v>
      </c>
      <c r="AA33" s="114"/>
      <c r="AB33" s="114"/>
      <c r="AC33" s="114"/>
    </row>
    <row r="34" spans="1:29" ht="15.05" customHeight="1">
      <c r="A34" s="21" t="s">
        <v>854</v>
      </c>
      <c r="B34" s="235">
        <v>110</v>
      </c>
      <c r="C34" s="235">
        <v>23.4</v>
      </c>
      <c r="D34" s="235">
        <v>1.5</v>
      </c>
      <c r="E34" s="21">
        <v>0.45</v>
      </c>
      <c r="F34" s="235">
        <v>1.18</v>
      </c>
      <c r="G34" s="235">
        <v>0</v>
      </c>
      <c r="H34" s="235">
        <v>3.3</v>
      </c>
      <c r="I34" s="235">
        <v>240</v>
      </c>
      <c r="J34" s="235">
        <v>0.11</v>
      </c>
      <c r="K34" s="235">
        <v>0</v>
      </c>
      <c r="L34" s="235">
        <v>0.5</v>
      </c>
      <c r="M34" s="21">
        <v>0.29000000000000004</v>
      </c>
      <c r="N34" s="21">
        <v>0.04</v>
      </c>
      <c r="O34" s="21">
        <v>0.01</v>
      </c>
      <c r="P34" s="21">
        <v>0.01</v>
      </c>
      <c r="Q34" s="21"/>
      <c r="R34" s="230" t="s">
        <v>456</v>
      </c>
      <c r="S34" s="230" t="s">
        <v>375</v>
      </c>
      <c r="T34" s="230"/>
      <c r="U34" s="21">
        <v>1.75</v>
      </c>
      <c r="V34" s="21">
        <f t="shared" si="6"/>
        <v>13.64</v>
      </c>
      <c r="W34" s="21">
        <f t="shared" si="7"/>
        <v>2.5</v>
      </c>
      <c r="X34" s="21">
        <f t="shared" si="8"/>
        <v>1.75</v>
      </c>
      <c r="Y34" s="21">
        <v>1</v>
      </c>
      <c r="AA34" s="114"/>
      <c r="AB34" s="114"/>
      <c r="AC34" s="114"/>
    </row>
    <row r="35" spans="1:29" ht="15.05" customHeight="1">
      <c r="A35" s="21" t="s">
        <v>855</v>
      </c>
      <c r="B35" s="235">
        <v>141</v>
      </c>
      <c r="C35" s="235">
        <v>30.1</v>
      </c>
      <c r="D35" s="235">
        <v>2</v>
      </c>
      <c r="E35" s="21">
        <v>1.2</v>
      </c>
      <c r="F35" s="235">
        <v>1.46</v>
      </c>
      <c r="G35" s="235">
        <v>0</v>
      </c>
      <c r="H35" s="235">
        <v>4.7</v>
      </c>
      <c r="I35" s="235">
        <v>270</v>
      </c>
      <c r="J35" s="235">
        <v>0.14000000000000001</v>
      </c>
      <c r="K35" s="21">
        <v>0</v>
      </c>
      <c r="L35" s="235">
        <v>0.66</v>
      </c>
      <c r="M35" s="21">
        <v>0.41</v>
      </c>
      <c r="N35" s="21">
        <v>0.05</v>
      </c>
      <c r="O35" s="21">
        <v>0.01</v>
      </c>
      <c r="P35" s="21">
        <v>0.01</v>
      </c>
      <c r="Q35" s="21"/>
      <c r="R35" s="230" t="s">
        <v>457</v>
      </c>
      <c r="S35" s="230" t="s">
        <v>375</v>
      </c>
      <c r="T35" s="230"/>
      <c r="U35" s="21">
        <v>1.75</v>
      </c>
      <c r="V35" s="21">
        <f t="shared" si="6"/>
        <v>14.18</v>
      </c>
      <c r="W35" s="21">
        <f t="shared" si="7"/>
        <v>2.5</v>
      </c>
      <c r="X35" s="21">
        <f t="shared" si="8"/>
        <v>1.75</v>
      </c>
      <c r="Y35" s="21">
        <v>1</v>
      </c>
      <c r="AA35" s="114"/>
      <c r="AB35" s="114"/>
      <c r="AC35" s="114"/>
    </row>
    <row r="36" spans="1:29" ht="15.05" customHeight="1">
      <c r="A36" s="21" t="s">
        <v>578</v>
      </c>
      <c r="B36" s="235">
        <v>133</v>
      </c>
      <c r="C36" s="235">
        <v>19.8</v>
      </c>
      <c r="D36" s="235">
        <v>5.92</v>
      </c>
      <c r="E36" s="21">
        <v>1E-3</v>
      </c>
      <c r="F36" s="235">
        <v>0.15</v>
      </c>
      <c r="G36" s="235">
        <v>0</v>
      </c>
      <c r="H36" s="235">
        <v>10</v>
      </c>
      <c r="I36" s="235">
        <v>171</v>
      </c>
      <c r="J36" s="235">
        <v>0.15</v>
      </c>
      <c r="K36" s="21">
        <v>0</v>
      </c>
      <c r="L36" s="235">
        <v>1.97</v>
      </c>
      <c r="M36" s="21">
        <v>0.442</v>
      </c>
      <c r="N36" s="21">
        <v>4.3099999999999999E-2</v>
      </c>
      <c r="O36" s="235">
        <v>2.1000000000000001E-2</v>
      </c>
      <c r="P36" s="235">
        <v>4.1000000000000003E-3</v>
      </c>
      <c r="Q36" s="21"/>
      <c r="R36" s="230" t="s">
        <v>459</v>
      </c>
      <c r="S36" s="230" t="s">
        <v>375</v>
      </c>
      <c r="T36" s="230"/>
      <c r="U36" s="21">
        <v>0.7</v>
      </c>
      <c r="V36" s="21">
        <f t="shared" si="6"/>
        <v>44.51</v>
      </c>
      <c r="W36" s="21">
        <f t="shared" si="7"/>
        <v>1</v>
      </c>
      <c r="X36" s="21">
        <f t="shared" si="8"/>
        <v>0.7</v>
      </c>
      <c r="Y36" s="21">
        <v>1</v>
      </c>
      <c r="AA36" s="114"/>
      <c r="AB36" s="114"/>
      <c r="AC36" s="114"/>
    </row>
    <row r="37" spans="1:29" ht="15.05" customHeight="1">
      <c r="A37" s="21" t="s">
        <v>579</v>
      </c>
      <c r="B37" s="235">
        <v>233</v>
      </c>
      <c r="C37" s="235">
        <v>34.9</v>
      </c>
      <c r="D37" s="235">
        <v>10.4</v>
      </c>
      <c r="E37" s="21">
        <v>1E-3</v>
      </c>
      <c r="F37" s="21">
        <v>0</v>
      </c>
      <c r="G37" s="235">
        <v>0</v>
      </c>
      <c r="H37" s="235">
        <v>10.8</v>
      </c>
      <c r="I37" s="21">
        <v>180</v>
      </c>
      <c r="J37" s="21">
        <v>0</v>
      </c>
      <c r="K37" s="21">
        <v>0</v>
      </c>
      <c r="L37" s="235">
        <v>3.46</v>
      </c>
      <c r="M37" s="21">
        <v>0.78099999999999992</v>
      </c>
      <c r="N37" s="21">
        <v>6.8400000000000002E-2</v>
      </c>
      <c r="O37" s="235">
        <v>3.5999999999999997E-2</v>
      </c>
      <c r="P37" s="235">
        <v>1.4E-3</v>
      </c>
      <c r="Q37" s="21"/>
      <c r="R37" s="230" t="s">
        <v>458</v>
      </c>
      <c r="S37" s="230" t="s">
        <v>375</v>
      </c>
      <c r="T37" s="230"/>
      <c r="U37" s="21">
        <v>0.7</v>
      </c>
      <c r="V37" s="21">
        <f t="shared" si="6"/>
        <v>44.64</v>
      </c>
      <c r="W37" s="21">
        <f t="shared" si="7"/>
        <v>1</v>
      </c>
      <c r="X37" s="21">
        <f t="shared" si="8"/>
        <v>0.7</v>
      </c>
      <c r="Y37" s="21">
        <v>1</v>
      </c>
      <c r="AA37" s="114"/>
      <c r="AB37" s="114"/>
      <c r="AC37" s="114"/>
    </row>
    <row r="38" spans="1:29" ht="15.05" customHeight="1">
      <c r="A38" s="21" t="s">
        <v>580</v>
      </c>
      <c r="B38" s="235">
        <v>108</v>
      </c>
      <c r="C38" s="235">
        <v>20.7</v>
      </c>
      <c r="D38" s="235">
        <v>2.6</v>
      </c>
      <c r="E38" s="235">
        <v>0.57999999999999996</v>
      </c>
      <c r="F38" s="235">
        <v>1.08</v>
      </c>
      <c r="G38" s="235">
        <v>0</v>
      </c>
      <c r="H38" s="235">
        <v>10</v>
      </c>
      <c r="I38" s="235">
        <v>171</v>
      </c>
      <c r="J38" s="235">
        <v>9.7000000000000003E-2</v>
      </c>
      <c r="K38" s="21">
        <v>0</v>
      </c>
      <c r="L38" s="235">
        <v>0.83</v>
      </c>
      <c r="M38" s="21">
        <v>0.85</v>
      </c>
      <c r="N38" s="21">
        <v>9.6999999999999989E-2</v>
      </c>
      <c r="O38" s="235">
        <v>4.2000000000000003E-2</v>
      </c>
      <c r="P38" s="235">
        <v>1.0999999999999999E-2</v>
      </c>
      <c r="Q38" s="21"/>
      <c r="R38" s="230" t="s">
        <v>460</v>
      </c>
      <c r="S38" s="230" t="s">
        <v>375</v>
      </c>
      <c r="T38" s="230"/>
      <c r="U38" s="21">
        <v>1.3</v>
      </c>
      <c r="V38" s="21">
        <f t="shared" si="6"/>
        <v>24.07</v>
      </c>
      <c r="W38" s="21">
        <f t="shared" si="7"/>
        <v>1.9000000000000001</v>
      </c>
      <c r="X38" s="21">
        <f t="shared" si="8"/>
        <v>1.3</v>
      </c>
      <c r="Y38" s="21">
        <v>1</v>
      </c>
    </row>
    <row r="39" spans="1:29" ht="15.05" customHeight="1">
      <c r="A39" s="21" t="s">
        <v>581</v>
      </c>
      <c r="B39" s="235">
        <v>147</v>
      </c>
      <c r="C39" s="235">
        <v>31</v>
      </c>
      <c r="D39" s="235">
        <v>2.5</v>
      </c>
      <c r="E39" s="21">
        <v>1E-3</v>
      </c>
      <c r="F39" s="235">
        <v>1</v>
      </c>
      <c r="G39" s="235">
        <v>0</v>
      </c>
      <c r="H39" s="235">
        <v>10.8</v>
      </c>
      <c r="I39" s="21">
        <v>180</v>
      </c>
      <c r="J39" s="235">
        <v>0.15</v>
      </c>
      <c r="K39" s="21">
        <v>0</v>
      </c>
      <c r="L39" s="235">
        <v>0.69</v>
      </c>
      <c r="M39" s="21">
        <v>0.21099999999999999</v>
      </c>
      <c r="N39" s="21">
        <v>2.3299999999999998E-2</v>
      </c>
      <c r="O39" s="235">
        <v>1.0999999999999999E-2</v>
      </c>
      <c r="P39" s="235">
        <v>2.3E-3</v>
      </c>
      <c r="Q39" s="21"/>
      <c r="R39" s="230" t="s">
        <v>461</v>
      </c>
      <c r="S39" s="230" t="s">
        <v>375</v>
      </c>
      <c r="T39" s="230"/>
      <c r="U39" s="21">
        <v>1.75</v>
      </c>
      <c r="V39" s="21">
        <f t="shared" si="6"/>
        <v>17.010000000000002</v>
      </c>
      <c r="W39" s="21">
        <f t="shared" si="7"/>
        <v>2.5</v>
      </c>
      <c r="X39" s="21">
        <f t="shared" si="8"/>
        <v>1.75</v>
      </c>
      <c r="Y39" s="21">
        <v>1</v>
      </c>
    </row>
    <row r="40" spans="1:29" ht="15.05" customHeight="1">
      <c r="A40" s="21" t="s">
        <v>1120</v>
      </c>
      <c r="B40" s="235">
        <v>98.9</v>
      </c>
      <c r="C40" s="235">
        <v>23.1</v>
      </c>
      <c r="D40" s="235">
        <v>0.73</v>
      </c>
      <c r="E40" s="235">
        <v>0</v>
      </c>
      <c r="F40" s="235">
        <v>1.06</v>
      </c>
      <c r="G40" s="235">
        <v>0</v>
      </c>
      <c r="H40" s="235">
        <v>15.2</v>
      </c>
      <c r="I40" s="235">
        <v>193</v>
      </c>
      <c r="J40" s="235">
        <v>0.2</v>
      </c>
      <c r="K40" s="235">
        <v>0</v>
      </c>
      <c r="L40" s="235">
        <v>7.6999999999999999E-2</v>
      </c>
      <c r="M40" s="21">
        <v>1.95E-2</v>
      </c>
      <c r="N40" s="21">
        <v>0.21639999999999998</v>
      </c>
      <c r="O40" s="235">
        <v>6.5000000000000002E-2</v>
      </c>
      <c r="P40" s="235">
        <v>0.15</v>
      </c>
      <c r="Q40" s="21"/>
      <c r="R40" s="230" t="s">
        <v>462</v>
      </c>
      <c r="S40" s="230" t="s">
        <v>375</v>
      </c>
      <c r="T40" s="230"/>
      <c r="U40" s="21">
        <v>2</v>
      </c>
      <c r="V40" s="21">
        <f t="shared" si="6"/>
        <v>7.38</v>
      </c>
      <c r="W40" s="21">
        <f t="shared" si="7"/>
        <v>2.8</v>
      </c>
      <c r="X40" s="21">
        <f t="shared" si="8"/>
        <v>2</v>
      </c>
      <c r="Y40" s="21">
        <v>1</v>
      </c>
    </row>
    <row r="41" spans="1:29" ht="15.05" customHeight="1">
      <c r="A41" s="21" t="s">
        <v>1121</v>
      </c>
      <c r="B41" s="235">
        <v>100</v>
      </c>
      <c r="C41" s="235">
        <v>24.4</v>
      </c>
      <c r="D41" s="21">
        <v>0.5</v>
      </c>
      <c r="E41" s="21">
        <v>1E-3</v>
      </c>
      <c r="F41" s="235">
        <v>1.43</v>
      </c>
      <c r="G41" s="235">
        <v>0</v>
      </c>
      <c r="H41" s="235">
        <v>18.899999999999999</v>
      </c>
      <c r="I41" s="235">
        <v>230</v>
      </c>
      <c r="J41" s="235">
        <v>0.23</v>
      </c>
      <c r="K41" s="235">
        <v>0</v>
      </c>
      <c r="L41" s="21">
        <v>0.01</v>
      </c>
      <c r="M41" s="21">
        <v>0.02</v>
      </c>
      <c r="N41" s="21">
        <v>0.03</v>
      </c>
      <c r="O41" s="21">
        <v>0.01</v>
      </c>
      <c r="P41" s="21">
        <v>0.01</v>
      </c>
      <c r="Q41" s="21"/>
      <c r="R41" s="230" t="s">
        <v>463</v>
      </c>
      <c r="S41" s="230" t="s">
        <v>375</v>
      </c>
      <c r="T41" s="230"/>
      <c r="U41" s="21">
        <v>2</v>
      </c>
      <c r="V41" s="21">
        <f t="shared" si="6"/>
        <v>5</v>
      </c>
      <c r="W41" s="21">
        <f>ROUNDUP(U41*1.4,1)</f>
        <v>2.8</v>
      </c>
      <c r="X41" s="21">
        <f>U41</f>
        <v>2</v>
      </c>
      <c r="Y41" s="21">
        <v>1</v>
      </c>
    </row>
    <row r="42" spans="1:29" ht="15.05" customHeight="1">
      <c r="A42" s="21" t="s">
        <v>1123</v>
      </c>
      <c r="B42" s="235">
        <v>195</v>
      </c>
      <c r="C42" s="235">
        <v>23</v>
      </c>
      <c r="D42" s="235">
        <v>11.5</v>
      </c>
      <c r="E42" s="21">
        <v>1E-3</v>
      </c>
      <c r="F42" s="235">
        <v>1.1000000000000001</v>
      </c>
      <c r="G42" s="235">
        <v>0</v>
      </c>
      <c r="H42" s="235">
        <v>9.23</v>
      </c>
      <c r="I42" s="235">
        <v>270</v>
      </c>
      <c r="J42" s="235">
        <v>0.13</v>
      </c>
      <c r="K42" s="235">
        <v>0</v>
      </c>
      <c r="L42" s="235">
        <v>1.29</v>
      </c>
      <c r="M42" s="21">
        <v>0.442</v>
      </c>
      <c r="N42" s="21">
        <v>1.9300000000000002</v>
      </c>
      <c r="O42" s="235">
        <v>0.64</v>
      </c>
      <c r="P42" s="235">
        <v>1.1100000000000001</v>
      </c>
      <c r="Q42" s="21"/>
      <c r="R42" s="230" t="s">
        <v>464</v>
      </c>
      <c r="S42" s="230" t="s">
        <v>325</v>
      </c>
      <c r="T42" s="230"/>
      <c r="U42" s="21">
        <v>0.5</v>
      </c>
      <c r="V42" s="21">
        <v>53.37</v>
      </c>
      <c r="W42" s="21">
        <v>0.7</v>
      </c>
      <c r="X42" s="21">
        <v>0.5</v>
      </c>
      <c r="Y42" s="21">
        <v>1</v>
      </c>
    </row>
    <row r="43" spans="1:29" ht="15.05" customHeight="1">
      <c r="A43" s="21" t="s">
        <v>1122</v>
      </c>
      <c r="B43" s="235">
        <v>99.7</v>
      </c>
      <c r="C43" s="235">
        <v>23.1</v>
      </c>
      <c r="D43" s="235">
        <v>0.81</v>
      </c>
      <c r="E43" s="21">
        <v>1E-3</v>
      </c>
      <c r="F43" s="235">
        <v>1.01</v>
      </c>
      <c r="G43" s="235">
        <v>0</v>
      </c>
      <c r="H43" s="235">
        <v>37.5</v>
      </c>
      <c r="I43" s="235">
        <v>152</v>
      </c>
      <c r="J43" s="235">
        <v>0.25</v>
      </c>
      <c r="K43" s="21">
        <v>1</v>
      </c>
      <c r="L43" s="235">
        <v>4.2000000000000003E-2</v>
      </c>
      <c r="M43" s="21">
        <v>2.07E-2</v>
      </c>
      <c r="N43" s="21">
        <v>0.23499999999999999</v>
      </c>
      <c r="O43" s="235">
        <v>4.3999999999999997E-2</v>
      </c>
      <c r="P43" s="235">
        <v>0.18</v>
      </c>
      <c r="Q43" s="21"/>
      <c r="R43" s="230" t="s">
        <v>1041</v>
      </c>
      <c r="S43" s="230" t="s">
        <v>325</v>
      </c>
      <c r="T43" s="230"/>
      <c r="U43" s="21">
        <v>2</v>
      </c>
      <c r="V43" s="21">
        <v>8.1199999999999992</v>
      </c>
      <c r="W43" s="21">
        <v>2.8</v>
      </c>
      <c r="X43" s="21">
        <v>2</v>
      </c>
      <c r="Y43" s="21">
        <v>1</v>
      </c>
    </row>
    <row r="44" spans="1:29" ht="15.05" customHeight="1">
      <c r="A44" s="21" t="s">
        <v>1039</v>
      </c>
      <c r="B44" s="235">
        <v>143</v>
      </c>
      <c r="C44" s="235">
        <v>24.8</v>
      </c>
      <c r="D44" s="235">
        <v>4.8600000000000003</v>
      </c>
      <c r="E44" s="21">
        <v>1E-3</v>
      </c>
      <c r="F44" s="235">
        <v>1.34</v>
      </c>
      <c r="G44" s="235">
        <v>0</v>
      </c>
      <c r="H44" s="235">
        <v>31</v>
      </c>
      <c r="I44" s="235">
        <v>244</v>
      </c>
      <c r="J44" s="235">
        <v>0.18</v>
      </c>
      <c r="K44" s="235">
        <v>0</v>
      </c>
      <c r="L44" s="21">
        <v>0</v>
      </c>
      <c r="M44" s="21">
        <v>0</v>
      </c>
      <c r="N44" s="21">
        <v>0.51</v>
      </c>
      <c r="O44" s="235">
        <v>0.35</v>
      </c>
      <c r="P44" s="235">
        <v>0.16</v>
      </c>
      <c r="Q44" s="21"/>
      <c r="R44" s="230" t="s">
        <v>1042</v>
      </c>
      <c r="S44" s="230" t="s">
        <v>325</v>
      </c>
      <c r="T44" s="230"/>
      <c r="U44" s="21">
        <v>0.8</v>
      </c>
      <c r="V44" s="21">
        <v>33.99</v>
      </c>
      <c r="W44" s="21">
        <v>1.2000000000000002</v>
      </c>
      <c r="X44" s="21">
        <v>0.8</v>
      </c>
      <c r="Y44" s="21">
        <v>1</v>
      </c>
    </row>
    <row r="45" spans="1:29" ht="15.05" customHeight="1">
      <c r="A45" s="21" t="s">
        <v>1040</v>
      </c>
      <c r="B45" s="235">
        <v>228</v>
      </c>
      <c r="C45" s="235">
        <v>21.5</v>
      </c>
      <c r="D45" s="235">
        <v>15.8</v>
      </c>
      <c r="E45" s="21">
        <v>1E-3</v>
      </c>
      <c r="F45" s="235">
        <v>1.08</v>
      </c>
      <c r="G45" s="235">
        <v>0</v>
      </c>
      <c r="H45" s="235">
        <v>12.8</v>
      </c>
      <c r="I45" s="235">
        <v>207</v>
      </c>
      <c r="J45" s="235">
        <v>0.21</v>
      </c>
      <c r="K45" s="235">
        <v>0</v>
      </c>
      <c r="L45" s="235">
        <v>1.85</v>
      </c>
      <c r="M45" s="21">
        <v>0.27</v>
      </c>
      <c r="N45" s="21">
        <v>2.33</v>
      </c>
      <c r="O45" s="235">
        <v>0.8</v>
      </c>
      <c r="P45" s="235">
        <v>1.34</v>
      </c>
      <c r="Q45" s="21"/>
      <c r="R45" s="230" t="s">
        <v>1043</v>
      </c>
      <c r="S45" s="230" t="s">
        <v>325</v>
      </c>
      <c r="T45" s="230" t="s">
        <v>1124</v>
      </c>
      <c r="U45" s="21">
        <v>0.1</v>
      </c>
      <c r="V45" s="21">
        <v>69.3</v>
      </c>
      <c r="W45" s="21">
        <v>0.2</v>
      </c>
      <c r="X45" s="21">
        <v>0.1</v>
      </c>
      <c r="Y45" s="21">
        <v>1</v>
      </c>
    </row>
    <row r="46" spans="1:29" ht="15.05" customHeight="1">
      <c r="A46" s="21" t="s">
        <v>583</v>
      </c>
      <c r="B46" s="235">
        <v>213</v>
      </c>
      <c r="C46" s="235">
        <v>21.5</v>
      </c>
      <c r="D46" s="235">
        <v>13.9</v>
      </c>
      <c r="E46" s="235">
        <v>0.62</v>
      </c>
      <c r="F46" s="235">
        <v>2.65</v>
      </c>
      <c r="G46" s="235">
        <v>0</v>
      </c>
      <c r="H46" s="235">
        <v>108</v>
      </c>
      <c r="I46" s="235">
        <v>262</v>
      </c>
      <c r="J46" s="235">
        <v>0.7</v>
      </c>
      <c r="K46" s="235">
        <v>0</v>
      </c>
      <c r="L46" s="235">
        <v>1.82</v>
      </c>
      <c r="M46" s="21">
        <v>0.21</v>
      </c>
      <c r="N46" s="21">
        <v>1.788</v>
      </c>
      <c r="O46" s="235">
        <v>0.68</v>
      </c>
      <c r="P46" s="235">
        <v>1.02</v>
      </c>
      <c r="Q46" s="21"/>
      <c r="R46" s="230" t="s">
        <v>587</v>
      </c>
      <c r="S46" s="230" t="s">
        <v>374</v>
      </c>
      <c r="T46" s="230" t="s">
        <v>1125</v>
      </c>
      <c r="U46" s="21">
        <v>0</v>
      </c>
      <c r="V46" s="21">
        <v>65.12</v>
      </c>
      <c r="W46" s="21">
        <v>0</v>
      </c>
      <c r="X46" s="21">
        <v>0</v>
      </c>
      <c r="Y46" s="21">
        <v>0</v>
      </c>
    </row>
    <row r="47" spans="1:29" ht="15.05" customHeight="1">
      <c r="A47" s="21" t="s">
        <v>582</v>
      </c>
      <c r="B47" s="235">
        <v>163</v>
      </c>
      <c r="C47" s="235">
        <v>19.5</v>
      </c>
      <c r="D47" s="235">
        <v>9.48</v>
      </c>
      <c r="E47" s="21">
        <v>1E-3</v>
      </c>
      <c r="F47" s="235">
        <v>2.2000000000000002</v>
      </c>
      <c r="G47" s="235">
        <v>0</v>
      </c>
      <c r="H47" s="235">
        <v>57.5</v>
      </c>
      <c r="I47" s="235">
        <v>286</v>
      </c>
      <c r="J47" s="235">
        <v>0.22</v>
      </c>
      <c r="K47" s="235">
        <v>0</v>
      </c>
      <c r="L47" s="235">
        <v>1.9E-2</v>
      </c>
      <c r="M47" s="21">
        <v>0.1</v>
      </c>
      <c r="N47" s="21">
        <v>3.14</v>
      </c>
      <c r="O47" s="235">
        <v>1.0900000000000001</v>
      </c>
      <c r="P47" s="235">
        <v>1.58</v>
      </c>
      <c r="Q47" s="21"/>
      <c r="R47" s="230" t="s">
        <v>465</v>
      </c>
      <c r="S47" s="230" t="s">
        <v>374</v>
      </c>
      <c r="T47" s="230" t="s">
        <v>1126</v>
      </c>
      <c r="U47" s="21">
        <v>0</v>
      </c>
      <c r="V47" s="21">
        <v>69.52</v>
      </c>
      <c r="W47" s="21">
        <v>0</v>
      </c>
      <c r="X47" s="21">
        <v>0</v>
      </c>
      <c r="Y47" s="21">
        <v>0</v>
      </c>
    </row>
    <row r="48" spans="1:29" ht="15.05" customHeight="1">
      <c r="A48" s="21" t="s">
        <v>586</v>
      </c>
      <c r="B48" s="21">
        <v>135</v>
      </c>
      <c r="C48" s="21">
        <v>10.3</v>
      </c>
      <c r="D48" s="21">
        <v>10.5</v>
      </c>
      <c r="E48" s="21">
        <v>0</v>
      </c>
      <c r="F48" s="21">
        <v>1.2</v>
      </c>
      <c r="G48" s="21">
        <v>0</v>
      </c>
      <c r="H48" s="21">
        <v>110</v>
      </c>
      <c r="I48" s="21">
        <v>220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/>
      <c r="R48" s="230" t="s">
        <v>588</v>
      </c>
      <c r="S48" s="230" t="s">
        <v>374</v>
      </c>
      <c r="T48" s="230"/>
      <c r="U48" s="21">
        <v>0</v>
      </c>
      <c r="V48" s="21">
        <v>77.78</v>
      </c>
      <c r="W48" s="21">
        <v>0</v>
      </c>
      <c r="X48" s="21">
        <v>0</v>
      </c>
      <c r="Y48" s="21">
        <v>1</v>
      </c>
    </row>
    <row r="49" spans="1:25" ht="15.05" customHeight="1">
      <c r="A49" s="21" t="s">
        <v>1007</v>
      </c>
      <c r="B49" s="21">
        <v>88.9</v>
      </c>
      <c r="C49" s="21">
        <v>17.5</v>
      </c>
      <c r="D49" s="21">
        <v>2.1</v>
      </c>
      <c r="E49" s="21">
        <v>1E-3</v>
      </c>
      <c r="F49" s="21">
        <v>0.33</v>
      </c>
      <c r="G49" s="21">
        <v>0</v>
      </c>
      <c r="H49" s="21">
        <v>60</v>
      </c>
      <c r="I49" s="21">
        <v>150</v>
      </c>
      <c r="J49" s="21">
        <v>0.27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/>
      <c r="R49" s="230" t="s">
        <v>1006</v>
      </c>
      <c r="S49" s="230" t="s">
        <v>374</v>
      </c>
      <c r="T49" s="230"/>
      <c r="U49" s="21">
        <v>1.3</v>
      </c>
      <c r="V49" s="21">
        <v>23.62</v>
      </c>
      <c r="W49" s="21">
        <v>1.9000000000000001</v>
      </c>
      <c r="X49" s="21">
        <v>1.3</v>
      </c>
      <c r="Y49" s="21">
        <v>1</v>
      </c>
    </row>
    <row r="50" spans="1:25" ht="15.05" customHeight="1">
      <c r="A50" s="21" t="s">
        <v>856</v>
      </c>
      <c r="B50" s="21">
        <v>147</v>
      </c>
      <c r="C50" s="21">
        <v>13.8</v>
      </c>
      <c r="D50" s="21">
        <v>9.7200000000000006</v>
      </c>
      <c r="E50" s="21">
        <v>1.01</v>
      </c>
      <c r="F50" s="21">
        <v>0.95</v>
      </c>
      <c r="G50" s="21">
        <v>0</v>
      </c>
      <c r="H50" s="21">
        <v>70</v>
      </c>
      <c r="I50" s="21">
        <v>184</v>
      </c>
      <c r="J50" s="21">
        <v>0.4</v>
      </c>
      <c r="K50" s="21">
        <v>0</v>
      </c>
      <c r="L50" s="21">
        <v>3.43</v>
      </c>
      <c r="M50" s="21">
        <v>1.38</v>
      </c>
      <c r="N50" s="21">
        <v>0.125</v>
      </c>
      <c r="O50" s="21">
        <v>0</v>
      </c>
      <c r="P50" s="21">
        <v>6.9000000000000006E-2</v>
      </c>
      <c r="Q50" s="21"/>
      <c r="R50" s="230" t="s">
        <v>589</v>
      </c>
      <c r="S50" s="230" t="s">
        <v>376</v>
      </c>
      <c r="T50" s="230"/>
      <c r="U50" s="21">
        <v>0.25</v>
      </c>
      <c r="V50" s="21">
        <v>66.12</v>
      </c>
      <c r="W50" s="21">
        <v>0.4</v>
      </c>
      <c r="X50" s="21">
        <v>0.25</v>
      </c>
      <c r="Y50" s="21">
        <v>1</v>
      </c>
    </row>
    <row r="51" spans="1:25" ht="15.05" customHeight="1">
      <c r="A51" s="21" t="s">
        <v>857</v>
      </c>
      <c r="B51" s="235">
        <v>47.3</v>
      </c>
      <c r="C51" s="235">
        <v>10.3</v>
      </c>
      <c r="D51" s="235">
        <v>0.17</v>
      </c>
      <c r="E51" s="235">
        <v>1.1200000000000001</v>
      </c>
      <c r="F51" s="235">
        <v>0.6</v>
      </c>
      <c r="G51" s="21">
        <v>0</v>
      </c>
      <c r="H51" s="21">
        <v>6.67</v>
      </c>
      <c r="I51" s="21">
        <v>14.7</v>
      </c>
      <c r="J51" s="21">
        <v>0.39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/>
      <c r="R51" s="230" t="s">
        <v>590</v>
      </c>
      <c r="S51" s="230" t="s">
        <v>376</v>
      </c>
      <c r="T51" s="230" t="s">
        <v>1127</v>
      </c>
      <c r="U51" s="21">
        <v>2</v>
      </c>
      <c r="V51" s="21">
        <v>3.59</v>
      </c>
      <c r="W51" s="21">
        <v>2.8</v>
      </c>
      <c r="X51" s="21">
        <v>2</v>
      </c>
      <c r="Y51" s="21">
        <v>1</v>
      </c>
    </row>
    <row r="52" spans="1:25" ht="15.0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30"/>
      <c r="S52" s="230"/>
      <c r="T52" s="230"/>
      <c r="U52" s="21"/>
      <c r="V52" s="21"/>
      <c r="W52" s="21"/>
      <c r="X52" s="21"/>
      <c r="Y52" s="21"/>
    </row>
    <row r="53" spans="1:25" ht="15.0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30"/>
      <c r="S53" s="230"/>
      <c r="T53" s="230"/>
      <c r="U53" s="21"/>
      <c r="V53" s="21"/>
      <c r="W53" s="21"/>
      <c r="X53" s="21"/>
      <c r="Y53" s="21"/>
    </row>
    <row r="54" spans="1: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30"/>
      <c r="S54" s="230"/>
      <c r="T54" s="230"/>
      <c r="U54" s="21"/>
      <c r="V54" s="21"/>
      <c r="W54" s="21"/>
      <c r="X54" s="21"/>
      <c r="Y54" s="21"/>
    </row>
    <row r="55" spans="1: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30"/>
      <c r="S55" s="230"/>
      <c r="T55" s="230"/>
      <c r="U55" s="21"/>
      <c r="V55" s="21"/>
      <c r="W55" s="21"/>
      <c r="X55" s="21"/>
      <c r="Y55" s="21"/>
    </row>
    <row r="56" spans="1: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30"/>
      <c r="S56" s="230"/>
      <c r="T56" s="230"/>
      <c r="U56" s="21"/>
      <c r="V56" s="21"/>
      <c r="W56" s="21"/>
      <c r="X56" s="21"/>
      <c r="Y56" s="21"/>
    </row>
    <row r="57" spans="1: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30"/>
      <c r="S57" s="230"/>
      <c r="T57" s="230"/>
      <c r="U57" s="21"/>
      <c r="V57" s="21"/>
      <c r="W57" s="21"/>
      <c r="X57" s="21"/>
      <c r="Y57" s="21"/>
    </row>
    <row r="58" spans="1: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30"/>
      <c r="S58" s="230"/>
      <c r="T58" s="230"/>
      <c r="U58" s="21"/>
      <c r="V58" s="21"/>
      <c r="W58" s="21"/>
      <c r="X58" s="21"/>
      <c r="Y58" s="21"/>
    </row>
    <row r="59" spans="1: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30"/>
      <c r="S59" s="230"/>
      <c r="T59" s="230"/>
      <c r="U59" s="21"/>
      <c r="V59" s="21"/>
      <c r="W59" s="21"/>
      <c r="X59" s="21"/>
      <c r="Y59" s="21"/>
    </row>
    <row r="60" spans="1: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30"/>
      <c r="S60" s="230"/>
      <c r="T60" s="230"/>
      <c r="U60" s="21"/>
      <c r="V60" s="21"/>
      <c r="W60" s="21"/>
      <c r="X60" s="21"/>
      <c r="Y60" s="21"/>
    </row>
    <row r="61" spans="1: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30"/>
      <c r="S61" s="230"/>
      <c r="T61" s="230"/>
      <c r="U61" s="21"/>
      <c r="V61" s="21"/>
      <c r="W61" s="21"/>
      <c r="X61" s="21"/>
      <c r="Y61" s="21"/>
    </row>
    <row r="62" spans="1: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30"/>
      <c r="S62" s="230"/>
      <c r="T62" s="230"/>
      <c r="U62" s="21"/>
      <c r="V62" s="21"/>
      <c r="W62" s="21"/>
      <c r="X62" s="21"/>
      <c r="Y62" s="21"/>
    </row>
    <row r="63" spans="1: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Y63" s="21"/>
    </row>
    <row r="64" spans="1:25">
      <c r="A64" s="21"/>
      <c r="B64" s="21"/>
      <c r="C64" s="21"/>
      <c r="D64" s="21" t="s">
        <v>992</v>
      </c>
      <c r="E64" s="21"/>
      <c r="F64" s="21"/>
      <c r="G64" s="232" t="s">
        <v>524</v>
      </c>
      <c r="H64" s="232"/>
      <c r="I64" s="232"/>
      <c r="J64" s="236" t="s">
        <v>584</v>
      </c>
      <c r="K64" s="236"/>
      <c r="L64" s="21"/>
      <c r="M64" s="21"/>
      <c r="N64" s="21"/>
      <c r="O64" s="21"/>
      <c r="P64" s="21"/>
      <c r="Q64" s="21"/>
      <c r="Y64" s="21"/>
    </row>
    <row r="65" spans="1:25">
      <c r="A65" s="21"/>
      <c r="B65" s="21"/>
      <c r="C65" s="21"/>
      <c r="D65" s="233">
        <v>45457</v>
      </c>
      <c r="E65" s="21"/>
      <c r="F65" s="21"/>
      <c r="G65" s="232"/>
      <c r="H65" s="232"/>
      <c r="I65" s="232"/>
      <c r="J65" s="236"/>
      <c r="K65" s="236"/>
      <c r="L65" s="21"/>
      <c r="M65" s="21"/>
      <c r="N65" s="21"/>
      <c r="O65" s="21"/>
      <c r="P65" s="21"/>
      <c r="Q65" s="21"/>
      <c r="Y65" s="21"/>
    </row>
    <row r="66" spans="1:25">
      <c r="A66" s="21"/>
      <c r="B66" s="21"/>
      <c r="C66" s="21"/>
      <c r="D66" s="21"/>
      <c r="E66" s="21"/>
      <c r="F66" s="21"/>
      <c r="G66" s="232"/>
      <c r="H66" s="232"/>
      <c r="I66" s="232"/>
      <c r="J66" s="236"/>
      <c r="K66" s="236"/>
      <c r="L66" s="21"/>
      <c r="M66" s="21"/>
      <c r="N66" s="21"/>
      <c r="O66" s="21"/>
      <c r="P66" s="21"/>
      <c r="Q66" s="21"/>
      <c r="Y66" s="21"/>
    </row>
    <row r="67" spans="1: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Y67" s="21"/>
    </row>
    <row r="68" spans="1: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Y68" s="21"/>
    </row>
    <row r="69" spans="1: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Y69" s="21"/>
    </row>
    <row r="70" spans="1:25">
      <c r="E70" s="237" t="s">
        <v>585</v>
      </c>
    </row>
    <row r="72" spans="1:25">
      <c r="E72" s="237"/>
    </row>
  </sheetData>
  <sheetProtection algorithmName="SHA-512" hashValue="I7ORwURcj2VTRHNHsL/WJSnDgNXwBR9nIPGLIgShKAw6IlND40zGvaKi/duFq2q0SNzL1Fb+8ESLzre60D4LCg==" saltValue="DAUS4Y7FD/NeHhWfHLXsvQ==" spinCount="100000" sheet="1" objects="1" scenarios="1" selectLockedCells="1" selectUnlockedCells="1"/>
  <mergeCells count="2">
    <mergeCell ref="G64:I66"/>
    <mergeCell ref="J64:K66"/>
  </mergeCells>
  <conditionalFormatting sqref="H2:I5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02E3-6229-4C6E-9C16-C4B3E2BE0CBD}">
  <dimension ref="A1:AC65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6" width="11.5546875" style="228"/>
    <col min="7" max="7" width="11.5546875" style="228" customWidth="1"/>
    <col min="8" max="17" width="11.5546875" style="228"/>
    <col min="18" max="19" width="11.5546875" style="228" customWidth="1"/>
    <col min="20" max="20" width="40.6640625" style="228" customWidth="1"/>
    <col min="21" max="16384" width="11.5546875" style="228"/>
  </cols>
  <sheetData>
    <row r="1" spans="1:29" ht="18.350000000000001">
      <c r="A1" s="21" t="s">
        <v>408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190</v>
      </c>
      <c r="S1" s="21" t="s">
        <v>287</v>
      </c>
      <c r="T1" s="21" t="s">
        <v>394</v>
      </c>
      <c r="AA1" s="229"/>
      <c r="AB1" s="229"/>
      <c r="AC1" s="229"/>
    </row>
    <row r="2" spans="1:29" ht="15.05" customHeight="1">
      <c r="A2" s="21" t="s">
        <v>203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/>
      <c r="R2" s="21">
        <v>0</v>
      </c>
      <c r="S2" s="21">
        <v>0</v>
      </c>
      <c r="T2" s="230"/>
      <c r="AA2" s="229"/>
      <c r="AB2" s="229"/>
      <c r="AC2" s="229"/>
    </row>
    <row r="3" spans="1:29" ht="15.05" customHeight="1">
      <c r="A3" s="21" t="s">
        <v>893</v>
      </c>
      <c r="B3" s="21">
        <v>140</v>
      </c>
      <c r="C3" s="21">
        <v>12.7</v>
      </c>
      <c r="D3" s="21">
        <v>9.83</v>
      </c>
      <c r="E3" s="21">
        <v>0.27</v>
      </c>
      <c r="F3" s="21">
        <v>0.96</v>
      </c>
      <c r="G3" s="21">
        <v>0</v>
      </c>
      <c r="H3" s="21">
        <v>76.8</v>
      </c>
      <c r="I3" s="21">
        <v>204</v>
      </c>
      <c r="J3" s="21">
        <v>0.31</v>
      </c>
      <c r="K3" s="21">
        <v>0</v>
      </c>
      <c r="L3" s="21">
        <v>3.51</v>
      </c>
      <c r="M3" s="21">
        <v>1.5</v>
      </c>
      <c r="N3" s="21">
        <v>0.151</v>
      </c>
      <c r="O3" s="21">
        <v>0</v>
      </c>
      <c r="P3" s="21">
        <v>0.09</v>
      </c>
      <c r="Q3" s="21"/>
      <c r="R3" s="21">
        <v>55</v>
      </c>
      <c r="S3" s="21">
        <v>1</v>
      </c>
      <c r="T3" s="230" t="s">
        <v>295</v>
      </c>
      <c r="AA3" s="229"/>
      <c r="AB3" s="229"/>
      <c r="AC3" s="229"/>
    </row>
    <row r="4" spans="1:29" ht="15.05" customHeight="1">
      <c r="A4" s="21" t="s">
        <v>894</v>
      </c>
      <c r="B4" s="21">
        <v>147</v>
      </c>
      <c r="C4" s="21">
        <v>13.8</v>
      </c>
      <c r="D4" s="21">
        <v>9.7200000000000006</v>
      </c>
      <c r="E4" s="21">
        <v>1.01</v>
      </c>
      <c r="F4" s="21">
        <v>0.95</v>
      </c>
      <c r="G4" s="21">
        <v>0</v>
      </c>
      <c r="H4" s="21">
        <v>68.2</v>
      </c>
      <c r="I4" s="21">
        <v>197</v>
      </c>
      <c r="J4" s="21">
        <v>0.4</v>
      </c>
      <c r="K4" s="21">
        <v>0</v>
      </c>
      <c r="L4" s="21">
        <v>3.43</v>
      </c>
      <c r="M4" s="21">
        <v>1.38</v>
      </c>
      <c r="N4" s="21">
        <v>0.125</v>
      </c>
      <c r="O4" s="21">
        <v>0</v>
      </c>
      <c r="P4" s="21">
        <v>6.9000000000000006E-2</v>
      </c>
      <c r="Q4" s="21"/>
      <c r="R4" s="21">
        <v>55</v>
      </c>
      <c r="S4" s="21">
        <v>1</v>
      </c>
      <c r="T4" s="230" t="s">
        <v>296</v>
      </c>
      <c r="AA4" s="229"/>
      <c r="AB4" s="229"/>
      <c r="AC4" s="229"/>
    </row>
    <row r="5" spans="1:29" ht="15.05" customHeight="1">
      <c r="A5" s="21" t="s">
        <v>895</v>
      </c>
      <c r="B5" s="21">
        <v>140</v>
      </c>
      <c r="C5" s="21">
        <v>12.7</v>
      </c>
      <c r="D5" s="21">
        <v>9.83</v>
      </c>
      <c r="E5" s="21">
        <v>0.27</v>
      </c>
      <c r="F5" s="21">
        <v>0.96</v>
      </c>
      <c r="G5" s="21">
        <v>0</v>
      </c>
      <c r="H5" s="21">
        <v>76.8</v>
      </c>
      <c r="I5" s="21">
        <v>204</v>
      </c>
      <c r="J5" s="21">
        <v>0.31</v>
      </c>
      <c r="K5" s="21">
        <v>0</v>
      </c>
      <c r="L5" s="21">
        <v>3.51</v>
      </c>
      <c r="M5" s="21">
        <v>1.5</v>
      </c>
      <c r="N5" s="21">
        <v>0.151</v>
      </c>
      <c r="O5" s="21">
        <v>0</v>
      </c>
      <c r="P5" s="21">
        <v>0.09</v>
      </c>
      <c r="Q5" s="21"/>
      <c r="R5" s="21">
        <v>110</v>
      </c>
      <c r="S5" s="21">
        <v>2</v>
      </c>
      <c r="T5" s="230" t="s">
        <v>297</v>
      </c>
      <c r="AA5" s="231"/>
      <c r="AB5" s="231"/>
      <c r="AC5" s="231"/>
    </row>
    <row r="6" spans="1:29" ht="15.05" customHeight="1">
      <c r="A6" s="21" t="s">
        <v>896</v>
      </c>
      <c r="B6" s="21">
        <v>147</v>
      </c>
      <c r="C6" s="21">
        <v>13.8</v>
      </c>
      <c r="D6" s="21">
        <v>9.7200000000000006</v>
      </c>
      <c r="E6" s="21">
        <v>1.01</v>
      </c>
      <c r="F6" s="21">
        <v>0.95</v>
      </c>
      <c r="G6" s="21">
        <v>0</v>
      </c>
      <c r="H6" s="21">
        <v>68.2</v>
      </c>
      <c r="I6" s="21">
        <v>197</v>
      </c>
      <c r="J6" s="21">
        <v>0.4</v>
      </c>
      <c r="K6" s="21">
        <v>0</v>
      </c>
      <c r="L6" s="21">
        <v>3.43</v>
      </c>
      <c r="M6" s="21">
        <v>1.38</v>
      </c>
      <c r="N6" s="21">
        <v>0.125</v>
      </c>
      <c r="O6" s="21">
        <v>0</v>
      </c>
      <c r="P6" s="21">
        <v>6.9000000000000006E-2</v>
      </c>
      <c r="Q6" s="21"/>
      <c r="R6" s="21">
        <v>110</v>
      </c>
      <c r="S6" s="21">
        <v>2</v>
      </c>
      <c r="T6" s="230" t="s">
        <v>298</v>
      </c>
      <c r="AA6" s="231"/>
      <c r="AB6" s="231"/>
      <c r="AC6" s="231"/>
    </row>
    <row r="7" spans="1:29" ht="15.05" customHeight="1">
      <c r="A7" s="21" t="s">
        <v>897</v>
      </c>
      <c r="B7" s="21">
        <v>140</v>
      </c>
      <c r="C7" s="21">
        <v>12.7</v>
      </c>
      <c r="D7" s="21">
        <v>9.83</v>
      </c>
      <c r="E7" s="21">
        <v>0.27</v>
      </c>
      <c r="F7" s="21">
        <v>0.96</v>
      </c>
      <c r="G7" s="21">
        <v>0</v>
      </c>
      <c r="H7" s="21">
        <v>76.8</v>
      </c>
      <c r="I7" s="21">
        <v>204</v>
      </c>
      <c r="J7" s="21">
        <v>0.31</v>
      </c>
      <c r="K7" s="21">
        <v>0</v>
      </c>
      <c r="L7" s="21">
        <v>3.51</v>
      </c>
      <c r="M7" s="21">
        <v>1.5</v>
      </c>
      <c r="N7" s="21">
        <v>0.151</v>
      </c>
      <c r="O7" s="21">
        <v>0</v>
      </c>
      <c r="P7" s="21">
        <v>0.09</v>
      </c>
      <c r="Q7" s="21"/>
      <c r="R7" s="21">
        <v>165</v>
      </c>
      <c r="S7" s="21">
        <v>3</v>
      </c>
      <c r="T7" s="230" t="s">
        <v>299</v>
      </c>
      <c r="AA7" s="231"/>
      <c r="AB7" s="231" t="s">
        <v>380</v>
      </c>
      <c r="AC7" s="231"/>
    </row>
    <row r="8" spans="1:29" ht="15.05" customHeight="1">
      <c r="A8" s="21" t="s">
        <v>898</v>
      </c>
      <c r="B8" s="21">
        <v>147</v>
      </c>
      <c r="C8" s="21">
        <v>13.8</v>
      </c>
      <c r="D8" s="21">
        <v>9.7200000000000006</v>
      </c>
      <c r="E8" s="21">
        <v>1.01</v>
      </c>
      <c r="F8" s="21">
        <v>0.95</v>
      </c>
      <c r="G8" s="21">
        <v>0</v>
      </c>
      <c r="H8" s="21">
        <v>68.2</v>
      </c>
      <c r="I8" s="21">
        <v>197</v>
      </c>
      <c r="J8" s="21">
        <v>0.4</v>
      </c>
      <c r="K8" s="21">
        <v>0</v>
      </c>
      <c r="L8" s="21">
        <v>3.43</v>
      </c>
      <c r="M8" s="21">
        <v>1.38</v>
      </c>
      <c r="N8" s="21">
        <v>0.125</v>
      </c>
      <c r="O8" s="21">
        <v>0</v>
      </c>
      <c r="P8" s="21">
        <v>6.9000000000000006E-2</v>
      </c>
      <c r="Q8" s="21"/>
      <c r="R8" s="21">
        <v>165</v>
      </c>
      <c r="S8" s="21">
        <v>3</v>
      </c>
      <c r="T8" s="230" t="s">
        <v>300</v>
      </c>
      <c r="AA8" s="231"/>
      <c r="AB8" s="231"/>
      <c r="AC8" s="231"/>
    </row>
    <row r="9" spans="1:29" ht="15.05" customHeight="1">
      <c r="A9" s="21" t="s">
        <v>899</v>
      </c>
      <c r="B9" s="21">
        <v>140</v>
      </c>
      <c r="C9" s="21">
        <v>12.7</v>
      </c>
      <c r="D9" s="21">
        <v>9.83</v>
      </c>
      <c r="E9" s="21">
        <v>0.27</v>
      </c>
      <c r="F9" s="21">
        <v>0.96</v>
      </c>
      <c r="G9" s="21">
        <v>0</v>
      </c>
      <c r="H9" s="21">
        <v>76.8</v>
      </c>
      <c r="I9" s="21">
        <v>204</v>
      </c>
      <c r="J9" s="21">
        <v>0.31</v>
      </c>
      <c r="K9" s="21">
        <v>0</v>
      </c>
      <c r="L9" s="21">
        <v>3.51</v>
      </c>
      <c r="M9" s="21">
        <v>1.5</v>
      </c>
      <c r="N9" s="21">
        <v>0.151</v>
      </c>
      <c r="O9" s="21">
        <v>0</v>
      </c>
      <c r="P9" s="21">
        <v>0.09</v>
      </c>
      <c r="Q9" s="21"/>
      <c r="R9" s="21">
        <v>220</v>
      </c>
      <c r="S9" s="21">
        <v>4</v>
      </c>
      <c r="T9" s="230" t="s">
        <v>301</v>
      </c>
      <c r="AA9" s="231"/>
      <c r="AB9" s="231" t="s">
        <v>381</v>
      </c>
      <c r="AC9" s="231"/>
    </row>
    <row r="10" spans="1:29" ht="15.05" customHeight="1">
      <c r="A10" s="21" t="s">
        <v>900</v>
      </c>
      <c r="B10" s="21">
        <v>147</v>
      </c>
      <c r="C10" s="21">
        <v>13.8</v>
      </c>
      <c r="D10" s="21">
        <v>9.7200000000000006</v>
      </c>
      <c r="E10" s="21">
        <v>1.01</v>
      </c>
      <c r="F10" s="21">
        <v>0.95</v>
      </c>
      <c r="G10" s="21">
        <v>0</v>
      </c>
      <c r="H10" s="21">
        <v>68.2</v>
      </c>
      <c r="I10" s="21">
        <v>197</v>
      </c>
      <c r="J10" s="21">
        <v>0.4</v>
      </c>
      <c r="K10" s="21">
        <v>0</v>
      </c>
      <c r="L10" s="21">
        <v>3.43</v>
      </c>
      <c r="M10" s="21">
        <v>1.38</v>
      </c>
      <c r="N10" s="21">
        <v>0.125</v>
      </c>
      <c r="O10" s="21">
        <v>0</v>
      </c>
      <c r="P10" s="21">
        <v>6.9000000000000006E-2</v>
      </c>
      <c r="Q10" s="21"/>
      <c r="R10" s="21">
        <v>220</v>
      </c>
      <c r="S10" s="21">
        <v>4</v>
      </c>
      <c r="T10" s="230" t="s">
        <v>302</v>
      </c>
      <c r="AA10" s="231"/>
      <c r="AB10" s="231"/>
      <c r="AC10" s="231"/>
    </row>
    <row r="11" spans="1:29" ht="15.05" customHeight="1">
      <c r="A11" s="21" t="s">
        <v>901</v>
      </c>
      <c r="B11" s="21">
        <v>140</v>
      </c>
      <c r="C11" s="21">
        <v>12.7</v>
      </c>
      <c r="D11" s="21">
        <v>9.83</v>
      </c>
      <c r="E11" s="21">
        <v>0.27</v>
      </c>
      <c r="F11" s="21">
        <v>0.96</v>
      </c>
      <c r="G11" s="21">
        <v>0</v>
      </c>
      <c r="H11" s="21">
        <v>76.8</v>
      </c>
      <c r="I11" s="21">
        <v>204</v>
      </c>
      <c r="J11" s="21">
        <v>0.31</v>
      </c>
      <c r="K11" s="21">
        <v>0</v>
      </c>
      <c r="L11" s="21">
        <v>3.51</v>
      </c>
      <c r="M11" s="21">
        <v>1.5</v>
      </c>
      <c r="N11" s="21">
        <v>0.151</v>
      </c>
      <c r="O11" s="21">
        <v>0</v>
      </c>
      <c r="P11" s="21">
        <v>0.09</v>
      </c>
      <c r="Q11" s="21"/>
      <c r="R11" s="21">
        <v>275</v>
      </c>
      <c r="S11" s="21">
        <v>5</v>
      </c>
      <c r="T11" s="230" t="s">
        <v>303</v>
      </c>
      <c r="AA11" s="231"/>
      <c r="AB11" s="231" t="s">
        <v>382</v>
      </c>
      <c r="AC11" s="231"/>
    </row>
    <row r="12" spans="1:29" ht="15.05" customHeight="1">
      <c r="A12" s="21" t="s">
        <v>902</v>
      </c>
      <c r="B12" s="21">
        <v>147</v>
      </c>
      <c r="C12" s="21">
        <v>13.8</v>
      </c>
      <c r="D12" s="21">
        <v>9.7200000000000006</v>
      </c>
      <c r="E12" s="21">
        <v>1.01</v>
      </c>
      <c r="F12" s="21">
        <v>0.95</v>
      </c>
      <c r="G12" s="21">
        <v>0</v>
      </c>
      <c r="H12" s="21">
        <v>68.2</v>
      </c>
      <c r="I12" s="21">
        <v>197</v>
      </c>
      <c r="J12" s="21">
        <v>0.4</v>
      </c>
      <c r="K12" s="21">
        <v>0</v>
      </c>
      <c r="L12" s="21">
        <v>3.43</v>
      </c>
      <c r="M12" s="21">
        <v>1.38</v>
      </c>
      <c r="N12" s="21">
        <v>0.125</v>
      </c>
      <c r="O12" s="21">
        <v>0</v>
      </c>
      <c r="P12" s="21">
        <v>6.9000000000000006E-2</v>
      </c>
      <c r="Q12" s="21"/>
      <c r="R12" s="21">
        <v>275</v>
      </c>
      <c r="S12" s="21">
        <v>5</v>
      </c>
      <c r="T12" s="230" t="s">
        <v>304</v>
      </c>
      <c r="AA12" s="231"/>
      <c r="AB12" s="231" t="s">
        <v>383</v>
      </c>
      <c r="AC12" s="231"/>
    </row>
    <row r="13" spans="1:29" ht="15.05" customHeight="1">
      <c r="A13" s="21" t="s">
        <v>903</v>
      </c>
      <c r="B13" s="21">
        <v>140</v>
      </c>
      <c r="C13" s="21">
        <v>12.7</v>
      </c>
      <c r="D13" s="21">
        <v>9.83</v>
      </c>
      <c r="E13" s="21">
        <v>0.27</v>
      </c>
      <c r="F13" s="21">
        <v>0.96</v>
      </c>
      <c r="G13" s="21">
        <v>0</v>
      </c>
      <c r="H13" s="21">
        <v>76.8</v>
      </c>
      <c r="I13" s="21">
        <v>204</v>
      </c>
      <c r="J13" s="21">
        <v>0.31</v>
      </c>
      <c r="K13" s="21">
        <v>0</v>
      </c>
      <c r="L13" s="21">
        <v>3.51</v>
      </c>
      <c r="M13" s="21">
        <v>1.5</v>
      </c>
      <c r="N13" s="21">
        <v>0.151</v>
      </c>
      <c r="O13" s="21">
        <v>0</v>
      </c>
      <c r="P13" s="21">
        <v>0.09</v>
      </c>
      <c r="Q13" s="21"/>
      <c r="R13" s="21">
        <v>330</v>
      </c>
      <c r="S13" s="21">
        <v>6</v>
      </c>
      <c r="T13" s="230" t="s">
        <v>305</v>
      </c>
      <c r="AA13" s="231"/>
      <c r="AB13" s="231" t="s">
        <v>384</v>
      </c>
      <c r="AC13" s="231"/>
    </row>
    <row r="14" spans="1:29" ht="15.05" customHeight="1">
      <c r="A14" s="21" t="s">
        <v>904</v>
      </c>
      <c r="B14" s="21">
        <v>147</v>
      </c>
      <c r="C14" s="21">
        <v>13.8</v>
      </c>
      <c r="D14" s="21">
        <v>9.7200000000000006</v>
      </c>
      <c r="E14" s="21">
        <v>1.01</v>
      </c>
      <c r="F14" s="21">
        <v>0.95</v>
      </c>
      <c r="G14" s="21">
        <v>0</v>
      </c>
      <c r="H14" s="21">
        <v>68.2</v>
      </c>
      <c r="I14" s="21">
        <v>197</v>
      </c>
      <c r="J14" s="21">
        <v>0.4</v>
      </c>
      <c r="K14" s="21">
        <v>0</v>
      </c>
      <c r="L14" s="21">
        <v>3.43</v>
      </c>
      <c r="M14" s="21">
        <v>1.38</v>
      </c>
      <c r="N14" s="21">
        <v>0.125</v>
      </c>
      <c r="O14" s="21">
        <v>0</v>
      </c>
      <c r="P14" s="21">
        <v>6.9000000000000006E-2</v>
      </c>
      <c r="Q14" s="21"/>
      <c r="R14" s="21">
        <v>330</v>
      </c>
      <c r="S14" s="21">
        <v>6</v>
      </c>
      <c r="T14" s="230" t="s">
        <v>306</v>
      </c>
      <c r="AA14" s="231"/>
      <c r="AB14" s="231"/>
      <c r="AC14" s="231"/>
    </row>
    <row r="15" spans="1:29" ht="15.05" customHeight="1">
      <c r="A15" s="21" t="s">
        <v>905</v>
      </c>
      <c r="B15" s="21">
        <v>140</v>
      </c>
      <c r="C15" s="21">
        <v>12.7</v>
      </c>
      <c r="D15" s="21">
        <v>9.83</v>
      </c>
      <c r="E15" s="21">
        <v>0.27</v>
      </c>
      <c r="F15" s="21">
        <v>0.96</v>
      </c>
      <c r="G15" s="21">
        <v>0</v>
      </c>
      <c r="H15" s="21">
        <v>76.8</v>
      </c>
      <c r="I15" s="21">
        <v>204</v>
      </c>
      <c r="J15" s="21">
        <v>0.31</v>
      </c>
      <c r="K15" s="21">
        <v>0</v>
      </c>
      <c r="L15" s="21">
        <v>3.51</v>
      </c>
      <c r="M15" s="21">
        <v>1.5</v>
      </c>
      <c r="N15" s="21">
        <v>0.151</v>
      </c>
      <c r="O15" s="21">
        <v>0</v>
      </c>
      <c r="P15" s="21">
        <v>0.09</v>
      </c>
      <c r="Q15" s="21"/>
      <c r="R15" s="21">
        <v>385</v>
      </c>
      <c r="S15" s="21">
        <v>7</v>
      </c>
      <c r="T15" s="230" t="s">
        <v>307</v>
      </c>
      <c r="AA15" s="231"/>
      <c r="AB15" s="231" t="s">
        <v>385</v>
      </c>
      <c r="AC15" s="231"/>
    </row>
    <row r="16" spans="1:29" ht="15.05" customHeight="1">
      <c r="A16" s="21" t="s">
        <v>906</v>
      </c>
      <c r="B16" s="21">
        <v>147</v>
      </c>
      <c r="C16" s="21">
        <v>13.8</v>
      </c>
      <c r="D16" s="21">
        <v>9.7200000000000006</v>
      </c>
      <c r="E16" s="21">
        <v>1.01</v>
      </c>
      <c r="F16" s="21">
        <v>0.95</v>
      </c>
      <c r="G16" s="21">
        <v>0</v>
      </c>
      <c r="H16" s="21">
        <v>68.2</v>
      </c>
      <c r="I16" s="21">
        <v>197</v>
      </c>
      <c r="J16" s="21">
        <v>0.4</v>
      </c>
      <c r="K16" s="21">
        <v>0</v>
      </c>
      <c r="L16" s="21">
        <v>3.43</v>
      </c>
      <c r="M16" s="21">
        <v>1.38</v>
      </c>
      <c r="N16" s="21">
        <v>0.125</v>
      </c>
      <c r="O16" s="21">
        <v>0</v>
      </c>
      <c r="P16" s="21">
        <v>6.9000000000000006E-2</v>
      </c>
      <c r="Q16" s="21"/>
      <c r="R16" s="21">
        <v>385</v>
      </c>
      <c r="S16" s="21">
        <v>7</v>
      </c>
      <c r="T16" s="230" t="s">
        <v>308</v>
      </c>
      <c r="AA16" s="231"/>
      <c r="AB16" s="231"/>
      <c r="AC16" s="231"/>
    </row>
    <row r="17" spans="1:29" ht="15.05" customHeight="1">
      <c r="A17" s="21" t="s">
        <v>907</v>
      </c>
      <c r="B17" s="21">
        <v>140</v>
      </c>
      <c r="C17" s="21">
        <v>12.7</v>
      </c>
      <c r="D17" s="21">
        <v>9.83</v>
      </c>
      <c r="E17" s="21">
        <v>0.27</v>
      </c>
      <c r="F17" s="21">
        <v>0.96</v>
      </c>
      <c r="G17" s="21">
        <v>0</v>
      </c>
      <c r="H17" s="21">
        <v>76.8</v>
      </c>
      <c r="I17" s="21">
        <v>204</v>
      </c>
      <c r="J17" s="21">
        <v>0.31</v>
      </c>
      <c r="K17" s="21">
        <v>0</v>
      </c>
      <c r="L17" s="21">
        <v>3.51</v>
      </c>
      <c r="M17" s="21">
        <v>1.5</v>
      </c>
      <c r="N17" s="21">
        <v>0.151</v>
      </c>
      <c r="O17" s="21">
        <v>0</v>
      </c>
      <c r="P17" s="21">
        <v>0.09</v>
      </c>
      <c r="Q17" s="21"/>
      <c r="R17" s="21">
        <v>440</v>
      </c>
      <c r="S17" s="21">
        <v>8</v>
      </c>
      <c r="T17" s="230" t="s">
        <v>309</v>
      </c>
      <c r="AA17" s="231"/>
      <c r="AB17" s="231"/>
      <c r="AC17" s="231"/>
    </row>
    <row r="18" spans="1:29" ht="15.05" customHeight="1">
      <c r="A18" s="21" t="s">
        <v>908</v>
      </c>
      <c r="B18" s="21">
        <v>147</v>
      </c>
      <c r="C18" s="21">
        <v>13.8</v>
      </c>
      <c r="D18" s="21">
        <v>9.7200000000000006</v>
      </c>
      <c r="E18" s="21">
        <v>1.01</v>
      </c>
      <c r="F18" s="21">
        <v>0.95</v>
      </c>
      <c r="G18" s="21">
        <v>0</v>
      </c>
      <c r="H18" s="21">
        <v>68.2</v>
      </c>
      <c r="I18" s="21">
        <v>197</v>
      </c>
      <c r="J18" s="21">
        <v>0.4</v>
      </c>
      <c r="K18" s="21">
        <v>0</v>
      </c>
      <c r="L18" s="21">
        <v>3.43</v>
      </c>
      <c r="M18" s="21">
        <v>1.38</v>
      </c>
      <c r="N18" s="21">
        <v>0.125</v>
      </c>
      <c r="O18" s="21">
        <v>0</v>
      </c>
      <c r="P18" s="21">
        <v>6.9000000000000006E-2</v>
      </c>
      <c r="Q18" s="21"/>
      <c r="R18" s="21">
        <v>440</v>
      </c>
      <c r="S18" s="21">
        <v>8</v>
      </c>
      <c r="T18" s="230" t="s">
        <v>310</v>
      </c>
      <c r="AA18" s="114"/>
      <c r="AB18" s="114"/>
      <c r="AC18" s="114"/>
    </row>
    <row r="19" spans="1:29" ht="15.0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30"/>
      <c r="AA19" s="114"/>
      <c r="AB19" s="114"/>
      <c r="AC19" s="114"/>
    </row>
    <row r="20" spans="1:29" ht="15.0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30"/>
      <c r="AA20" s="114"/>
      <c r="AB20" s="114"/>
      <c r="AC20" s="114"/>
    </row>
    <row r="21" spans="1:29" ht="15.0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30"/>
      <c r="AA21" s="114"/>
      <c r="AB21" s="114"/>
      <c r="AC21" s="114"/>
    </row>
    <row r="22" spans="1:29" ht="15.05" customHeight="1">
      <c r="A22" s="21"/>
      <c r="B22" s="21"/>
      <c r="C22" s="21"/>
      <c r="D22" s="21"/>
      <c r="E22" s="21"/>
      <c r="F22" s="21"/>
      <c r="G22" s="21" t="s">
        <v>992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30"/>
      <c r="AA22" s="114"/>
      <c r="AB22" s="114"/>
      <c r="AC22" s="114"/>
    </row>
    <row r="23" spans="1:29" ht="15.05" customHeight="1">
      <c r="A23" s="21"/>
      <c r="B23" s="21"/>
      <c r="C23" s="21"/>
      <c r="D23" s="21"/>
      <c r="E23" s="21"/>
      <c r="F23" s="21"/>
      <c r="G23" s="233">
        <v>44330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30"/>
      <c r="AA23" s="114"/>
      <c r="AB23" s="114"/>
      <c r="AC23" s="114"/>
    </row>
    <row r="24" spans="1:29" ht="15.0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30"/>
      <c r="AA24" s="114"/>
      <c r="AB24" s="114"/>
      <c r="AC24" s="114"/>
    </row>
    <row r="25" spans="1:29" ht="15.0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30"/>
      <c r="AA25" s="114"/>
      <c r="AB25" s="114"/>
      <c r="AC25" s="114"/>
    </row>
    <row r="26" spans="1:29" ht="15.0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0"/>
      <c r="AA26" s="114"/>
      <c r="AB26" s="114"/>
      <c r="AC26" s="114"/>
    </row>
    <row r="27" spans="1:29" ht="15.0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30"/>
      <c r="AA27" s="114"/>
      <c r="AB27" s="114"/>
      <c r="AC27" s="114"/>
    </row>
    <row r="28" spans="1:29" ht="15.0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30"/>
      <c r="AA28" s="114"/>
      <c r="AB28" s="114"/>
      <c r="AC28" s="114"/>
    </row>
    <row r="29" spans="1:29" ht="15.0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30"/>
      <c r="AA29" s="114"/>
      <c r="AB29" s="114"/>
      <c r="AC29" s="114"/>
    </row>
    <row r="30" spans="1:29" ht="15.0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30"/>
      <c r="AA30" s="114"/>
      <c r="AB30" s="114"/>
      <c r="AC30" s="114"/>
    </row>
    <row r="31" spans="1:29" ht="15.0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30"/>
      <c r="AA31" s="114"/>
      <c r="AB31" s="114"/>
      <c r="AC31" s="114"/>
    </row>
    <row r="32" spans="1:29" ht="15.0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30"/>
      <c r="AA32" s="114"/>
      <c r="AB32" s="114"/>
      <c r="AC32" s="114"/>
    </row>
    <row r="33" spans="1:29" ht="15.0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30"/>
      <c r="AA33" s="114"/>
      <c r="AB33" s="114"/>
      <c r="AC33" s="114"/>
    </row>
    <row r="34" spans="1:29" ht="15.0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AA34" s="114"/>
      <c r="AB34" s="114"/>
      <c r="AC34" s="114"/>
    </row>
    <row r="35" spans="1:29" ht="15.0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AA35" s="114"/>
      <c r="AB35" s="114"/>
      <c r="AC35" s="114"/>
    </row>
    <row r="36" spans="1:29" ht="15.0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9" ht="15.0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9" ht="15.0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9" ht="15.0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9" ht="15.0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9" ht="15.0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9" ht="15.0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9" ht="15.0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9" ht="15.0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9" ht="15.0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9" ht="15.0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9" ht="15.0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9" ht="15.0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ht="15.0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5.0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ht="15.0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ht="15.0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0" ht="15.0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ht="15.0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5.0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5.0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5.0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20" ht="15.0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ht="15.0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ht="15.0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ht="15.0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ht="15.05" customHeight="1"/>
    <row r="63" spans="1:20" ht="15.05" customHeight="1"/>
    <row r="64" spans="1:20" ht="15.05" customHeight="1"/>
    <row r="65" s="228" customFormat="1" ht="15.05" customHeight="1"/>
  </sheetData>
  <sheetProtection algorithmName="SHA-512" hashValue="EKCoVqSR9ZfuailFXjm4dFwXCUcKUx0XExc9L950n04vsoUT4dNTj1rjLuPWprDlWhCERJMX32RlA5cIeu4psA==" saltValue="pYaBABbvGC3YhLGYvhNnL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A157-6586-4256-B05C-037CECB46DDA}">
  <dimension ref="A1:AC61"/>
  <sheetViews>
    <sheetView zoomScaleNormal="100" workbookViewId="0">
      <selection activeCell="A2" sqref="A1:IV65536"/>
    </sheetView>
  </sheetViews>
  <sheetFormatPr baseColWidth="10" defaultRowHeight="15.05"/>
  <cols>
    <col min="1" max="1" width="30.6640625" style="228" customWidth="1"/>
    <col min="2" max="6" width="11.5546875" style="228"/>
    <col min="7" max="7" width="11.5546875" style="228" customWidth="1"/>
    <col min="8" max="17" width="11.5546875" style="228"/>
    <col min="18" max="18" width="40.6640625" style="228" customWidth="1"/>
    <col min="19" max="16384" width="11.5546875" style="228"/>
  </cols>
  <sheetData>
    <row r="1" spans="1:29" ht="18.350000000000001">
      <c r="A1" s="21" t="s">
        <v>521</v>
      </c>
      <c r="B1" s="21" t="s">
        <v>3</v>
      </c>
      <c r="C1" s="21" t="s">
        <v>15</v>
      </c>
      <c r="D1" s="21" t="s">
        <v>16</v>
      </c>
      <c r="E1" s="21" t="s">
        <v>17</v>
      </c>
      <c r="F1" s="21" t="s">
        <v>18</v>
      </c>
      <c r="G1" s="21" t="s">
        <v>19</v>
      </c>
      <c r="H1" s="21" t="s">
        <v>20</v>
      </c>
      <c r="I1" s="21" t="s">
        <v>21</v>
      </c>
      <c r="J1" s="21" t="s">
        <v>33</v>
      </c>
      <c r="K1" s="21" t="s">
        <v>36</v>
      </c>
      <c r="L1" s="21" t="s">
        <v>126</v>
      </c>
      <c r="M1" s="21" t="s">
        <v>127</v>
      </c>
      <c r="N1" s="21" t="s">
        <v>128</v>
      </c>
      <c r="O1" s="21" t="s">
        <v>517</v>
      </c>
      <c r="P1" s="21" t="s">
        <v>518</v>
      </c>
      <c r="Q1" s="21" t="s">
        <v>520</v>
      </c>
      <c r="R1" s="21" t="s">
        <v>394</v>
      </c>
      <c r="AA1" s="229"/>
      <c r="AB1" s="229"/>
      <c r="AC1" s="229"/>
    </row>
    <row r="2" spans="1:29" ht="15.05" customHeight="1">
      <c r="A2" s="21" t="s">
        <v>203</v>
      </c>
      <c r="B2" s="21">
        <v>0</v>
      </c>
      <c r="C2" s="21">
        <v>0</v>
      </c>
      <c r="D2" s="21">
        <v>0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1">
        <v>0</v>
      </c>
      <c r="L2" s="21">
        <v>0</v>
      </c>
      <c r="M2" s="21">
        <v>0</v>
      </c>
      <c r="N2" s="21">
        <v>0</v>
      </c>
      <c r="O2" s="21">
        <v>0</v>
      </c>
      <c r="P2" s="21">
        <v>0</v>
      </c>
      <c r="Q2" s="21"/>
      <c r="R2" s="230"/>
      <c r="AA2" s="229"/>
      <c r="AB2" s="229"/>
      <c r="AC2" s="229"/>
    </row>
    <row r="3" spans="1:29" ht="15.05" customHeight="1">
      <c r="A3" s="21" t="s">
        <v>341</v>
      </c>
      <c r="B3" s="21">
        <v>45</v>
      </c>
      <c r="C3" s="21">
        <v>4</v>
      </c>
      <c r="D3" s="21">
        <v>1.4</v>
      </c>
      <c r="E3" s="21">
        <v>4.2</v>
      </c>
      <c r="F3" s="21">
        <v>0.84</v>
      </c>
      <c r="G3" s="21">
        <v>1E-3</v>
      </c>
      <c r="H3" s="21">
        <v>128</v>
      </c>
      <c r="I3" s="21">
        <v>98</v>
      </c>
      <c r="J3" s="21">
        <v>0.12</v>
      </c>
      <c r="K3" s="21">
        <v>0</v>
      </c>
      <c r="L3" s="21">
        <v>0.62</v>
      </c>
      <c r="M3" s="21">
        <v>0.06</v>
      </c>
      <c r="N3" s="21">
        <v>2.5999999999999999E-2</v>
      </c>
      <c r="O3" s="21">
        <v>1.3999999999999999E-4</v>
      </c>
      <c r="P3" s="21">
        <v>1.3999999999999999E-4</v>
      </c>
      <c r="Q3" s="21"/>
      <c r="R3" s="230" t="s">
        <v>346</v>
      </c>
      <c r="AA3" s="229"/>
      <c r="AB3" s="229"/>
      <c r="AC3" s="229"/>
    </row>
    <row r="4" spans="1:29" ht="15.05" customHeight="1">
      <c r="A4" s="21" t="s">
        <v>342</v>
      </c>
      <c r="B4" s="21">
        <v>61</v>
      </c>
      <c r="C4" s="21">
        <v>3.7</v>
      </c>
      <c r="D4" s="21">
        <v>3.5</v>
      </c>
      <c r="E4" s="21">
        <v>3.6</v>
      </c>
      <c r="F4" s="21">
        <v>0.84</v>
      </c>
      <c r="G4" s="21">
        <v>1E-3</v>
      </c>
      <c r="H4" s="21">
        <v>128</v>
      </c>
      <c r="I4" s="21">
        <v>98</v>
      </c>
      <c r="J4" s="21">
        <v>0.12</v>
      </c>
      <c r="K4" s="21">
        <v>0</v>
      </c>
      <c r="L4" s="21">
        <v>0.62</v>
      </c>
      <c r="M4" s="21">
        <v>0.06</v>
      </c>
      <c r="N4" s="21">
        <v>2.5999999999999999E-2</v>
      </c>
      <c r="O4" s="21">
        <v>1.3999999999999999E-4</v>
      </c>
      <c r="P4" s="21">
        <v>1.3999999999999999E-4</v>
      </c>
      <c r="Q4" s="21"/>
      <c r="R4" s="230" t="s">
        <v>347</v>
      </c>
      <c r="AA4" s="229"/>
      <c r="AB4" s="229"/>
      <c r="AC4" s="229"/>
    </row>
    <row r="5" spans="1:29" ht="15.05" customHeight="1">
      <c r="A5" s="21" t="s">
        <v>343</v>
      </c>
      <c r="B5" s="21">
        <v>64</v>
      </c>
      <c r="C5" s="21">
        <v>3.5</v>
      </c>
      <c r="D5" s="21">
        <v>3.5</v>
      </c>
      <c r="E5" s="21">
        <v>4.7</v>
      </c>
      <c r="F5" s="21">
        <v>0.84</v>
      </c>
      <c r="G5" s="21">
        <v>1E-3</v>
      </c>
      <c r="H5" s="21">
        <v>125</v>
      </c>
      <c r="I5" s="21">
        <v>98</v>
      </c>
      <c r="J5" s="21">
        <v>0.12</v>
      </c>
      <c r="K5" s="21">
        <v>0</v>
      </c>
      <c r="L5" s="21">
        <v>0.62</v>
      </c>
      <c r="M5" s="21">
        <v>0.06</v>
      </c>
      <c r="N5" s="21">
        <v>2.5999999999999999E-2</v>
      </c>
      <c r="O5" s="21">
        <v>1.3999999999999999E-4</v>
      </c>
      <c r="P5" s="21">
        <v>1.3999999999999999E-4</v>
      </c>
      <c r="Q5" s="21"/>
      <c r="R5" s="230" t="s">
        <v>348</v>
      </c>
      <c r="AA5" s="231"/>
      <c r="AB5" s="231"/>
      <c r="AC5" s="231"/>
    </row>
    <row r="6" spans="1:29" ht="15.05" customHeight="1">
      <c r="A6" s="21" t="s">
        <v>340</v>
      </c>
      <c r="B6" s="21">
        <v>72</v>
      </c>
      <c r="C6" s="21">
        <v>6.9</v>
      </c>
      <c r="D6" s="21">
        <v>3</v>
      </c>
      <c r="E6" s="21">
        <v>4.4000000000000004</v>
      </c>
      <c r="F6" s="21">
        <v>0.84</v>
      </c>
      <c r="G6" s="21">
        <v>1E-3</v>
      </c>
      <c r="H6" s="21">
        <v>130</v>
      </c>
      <c r="I6" s="21">
        <v>98</v>
      </c>
      <c r="J6" s="21">
        <v>0.12</v>
      </c>
      <c r="K6" s="21">
        <v>0</v>
      </c>
      <c r="L6" s="21">
        <v>0.62</v>
      </c>
      <c r="M6" s="21">
        <v>0.06</v>
      </c>
      <c r="N6" s="21">
        <v>2.5999999999999999E-2</v>
      </c>
      <c r="O6" s="21">
        <v>1.3999999999999999E-4</v>
      </c>
      <c r="P6" s="21">
        <v>1.3999999999999999E-4</v>
      </c>
      <c r="Q6" s="21"/>
      <c r="R6" s="230" t="s">
        <v>862</v>
      </c>
      <c r="AA6" s="231"/>
      <c r="AB6" s="231"/>
      <c r="AC6" s="231"/>
    </row>
    <row r="7" spans="1:29" ht="15.05" customHeight="1">
      <c r="A7" s="21" t="s">
        <v>339</v>
      </c>
      <c r="B7" s="21">
        <v>118</v>
      </c>
      <c r="C7" s="21">
        <v>3.9</v>
      </c>
      <c r="D7" s="21">
        <v>10</v>
      </c>
      <c r="E7" s="21">
        <v>3.1</v>
      </c>
      <c r="F7" s="21">
        <v>0.84</v>
      </c>
      <c r="G7" s="21">
        <v>1E-3</v>
      </c>
      <c r="H7" s="21">
        <v>128</v>
      </c>
      <c r="I7" s="21">
        <v>98</v>
      </c>
      <c r="J7" s="21">
        <v>0.12</v>
      </c>
      <c r="K7" s="21">
        <v>0</v>
      </c>
      <c r="L7" s="21">
        <v>0.62</v>
      </c>
      <c r="M7" s="21">
        <v>0.06</v>
      </c>
      <c r="N7" s="21">
        <v>2.5999999999999999E-2</v>
      </c>
      <c r="O7" s="21">
        <v>1.3999999999999999E-4</v>
      </c>
      <c r="P7" s="21">
        <v>1.3999999999999999E-4</v>
      </c>
      <c r="Q7" s="21"/>
      <c r="R7" s="230" t="s">
        <v>859</v>
      </c>
      <c r="AA7" s="231"/>
      <c r="AB7" s="231" t="s">
        <v>380</v>
      </c>
      <c r="AC7" s="231"/>
    </row>
    <row r="8" spans="1:29" ht="15.05" customHeight="1">
      <c r="A8" s="21" t="s">
        <v>909</v>
      </c>
      <c r="B8" s="21">
        <v>77</v>
      </c>
      <c r="C8" s="21">
        <v>4.0999999999999996</v>
      </c>
      <c r="D8" s="21">
        <v>4.9000000000000004</v>
      </c>
      <c r="E8" s="21">
        <v>4.2</v>
      </c>
      <c r="F8" s="21">
        <v>0.84</v>
      </c>
      <c r="G8" s="21">
        <v>1E-3</v>
      </c>
      <c r="H8" s="21">
        <v>143</v>
      </c>
      <c r="I8" s="21">
        <v>98</v>
      </c>
      <c r="J8" s="21">
        <v>0.12</v>
      </c>
      <c r="K8" s="21">
        <v>0</v>
      </c>
      <c r="L8" s="21">
        <v>0.62</v>
      </c>
      <c r="M8" s="21">
        <v>0.06</v>
      </c>
      <c r="N8" s="21">
        <v>2.5999999999999999E-2</v>
      </c>
      <c r="O8" s="21">
        <v>1.3999999999999999E-4</v>
      </c>
      <c r="P8" s="21">
        <v>1.3999999999999999E-4</v>
      </c>
      <c r="Q8" s="21"/>
      <c r="R8" s="230" t="s">
        <v>860</v>
      </c>
      <c r="AA8" s="231"/>
      <c r="AB8" s="231"/>
      <c r="AC8" s="231"/>
    </row>
    <row r="9" spans="1:29" ht="15.05" customHeight="1">
      <c r="A9" s="21" t="s">
        <v>350</v>
      </c>
      <c r="B9" s="21">
        <v>68</v>
      </c>
      <c r="C9" s="21">
        <v>5.5</v>
      </c>
      <c r="D9" s="21">
        <v>3</v>
      </c>
      <c r="E9" s="21">
        <v>4.8</v>
      </c>
      <c r="F9" s="21">
        <v>0.84</v>
      </c>
      <c r="G9" s="21">
        <v>1E-3</v>
      </c>
      <c r="H9" s="21">
        <v>128</v>
      </c>
      <c r="I9" s="21">
        <v>98</v>
      </c>
      <c r="J9" s="21">
        <v>0.12</v>
      </c>
      <c r="K9" s="21">
        <v>0</v>
      </c>
      <c r="L9" s="21">
        <v>0.62</v>
      </c>
      <c r="M9" s="21">
        <v>0.06</v>
      </c>
      <c r="N9" s="21">
        <v>2.5999999999999999E-2</v>
      </c>
      <c r="O9" s="21">
        <v>1.3999999999999999E-4</v>
      </c>
      <c r="P9" s="21">
        <v>1.3999999999999999E-4</v>
      </c>
      <c r="Q9" s="21"/>
      <c r="R9" s="230" t="s">
        <v>861</v>
      </c>
      <c r="AA9" s="231"/>
      <c r="AB9" s="231" t="s">
        <v>381</v>
      </c>
      <c r="AC9" s="231"/>
    </row>
    <row r="10" spans="1:29" ht="15.05" customHeight="1">
      <c r="A10" s="21" t="s">
        <v>344</v>
      </c>
      <c r="B10" s="21">
        <v>39</v>
      </c>
      <c r="C10" s="21">
        <v>4.0999999999999996</v>
      </c>
      <c r="D10" s="21">
        <v>0.1</v>
      </c>
      <c r="E10" s="21">
        <v>5.5</v>
      </c>
      <c r="F10" s="21">
        <v>0.84</v>
      </c>
      <c r="G10" s="21">
        <v>1E-3</v>
      </c>
      <c r="H10" s="21">
        <v>147</v>
      </c>
      <c r="I10" s="21">
        <v>98</v>
      </c>
      <c r="J10" s="21">
        <v>0.12</v>
      </c>
      <c r="K10" s="21">
        <v>0</v>
      </c>
      <c r="L10" s="21">
        <v>0.62</v>
      </c>
      <c r="M10" s="21">
        <v>0.06</v>
      </c>
      <c r="N10" s="21">
        <v>2.5999999999999999E-2</v>
      </c>
      <c r="O10" s="21">
        <v>1.3999999999999999E-4</v>
      </c>
      <c r="P10" s="21">
        <v>1.3999999999999999E-4</v>
      </c>
      <c r="Q10" s="21"/>
      <c r="R10" s="230" t="s">
        <v>349</v>
      </c>
      <c r="AA10" s="231"/>
      <c r="AB10" s="231"/>
      <c r="AC10" s="231"/>
    </row>
    <row r="11" spans="1:29" ht="15.05" customHeight="1">
      <c r="A11" s="21" t="s">
        <v>338</v>
      </c>
      <c r="B11" s="21">
        <v>34</v>
      </c>
      <c r="C11" s="21">
        <v>4.5999999999999996</v>
      </c>
      <c r="D11" s="21">
        <v>0.1</v>
      </c>
      <c r="E11" s="21">
        <v>3.6</v>
      </c>
      <c r="F11" s="21">
        <v>0.84</v>
      </c>
      <c r="G11" s="21">
        <v>1E-3</v>
      </c>
      <c r="H11" s="21">
        <v>128</v>
      </c>
      <c r="I11" s="21">
        <v>98</v>
      </c>
      <c r="J11" s="21">
        <v>0.12</v>
      </c>
      <c r="K11" s="21">
        <v>0</v>
      </c>
      <c r="L11" s="21">
        <v>0.62</v>
      </c>
      <c r="M11" s="21">
        <v>0.06</v>
      </c>
      <c r="N11" s="21">
        <v>2.5999999999999999E-2</v>
      </c>
      <c r="O11" s="21">
        <v>1.3999999999999999E-4</v>
      </c>
      <c r="P11" s="21">
        <v>1.3999999999999999E-4</v>
      </c>
      <c r="Q11" s="21"/>
      <c r="R11" s="230" t="s">
        <v>345</v>
      </c>
      <c r="AA11" s="231"/>
      <c r="AB11" s="231" t="s">
        <v>382</v>
      </c>
      <c r="AC11" s="231"/>
    </row>
    <row r="12" spans="1:29" ht="15.05" customHeight="1">
      <c r="A12" s="21" t="s">
        <v>351</v>
      </c>
      <c r="B12" s="21">
        <v>39</v>
      </c>
      <c r="C12" s="21">
        <v>5.0999999999999996</v>
      </c>
      <c r="D12" s="21">
        <v>0.2</v>
      </c>
      <c r="E12" s="21">
        <v>4.0999999999999996</v>
      </c>
      <c r="F12" s="21">
        <v>0.84</v>
      </c>
      <c r="G12" s="21">
        <v>1E-3</v>
      </c>
      <c r="H12" s="21">
        <v>170</v>
      </c>
      <c r="I12" s="21">
        <v>98</v>
      </c>
      <c r="J12" s="21">
        <v>0.12</v>
      </c>
      <c r="K12" s="21">
        <v>0</v>
      </c>
      <c r="L12" s="21">
        <v>0.62</v>
      </c>
      <c r="M12" s="21">
        <v>0.06</v>
      </c>
      <c r="N12" s="21">
        <v>2.5999999999999999E-2</v>
      </c>
      <c r="O12" s="21">
        <v>1.3999999999999999E-4</v>
      </c>
      <c r="P12" s="21">
        <v>1.3999999999999999E-4</v>
      </c>
      <c r="Q12" s="21"/>
      <c r="R12" s="230" t="s">
        <v>863</v>
      </c>
      <c r="AA12" s="231"/>
      <c r="AB12" s="231" t="s">
        <v>383</v>
      </c>
      <c r="AC12" s="231"/>
    </row>
    <row r="13" spans="1:29" ht="15.0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30"/>
      <c r="AA13" s="231"/>
      <c r="AB13" s="231" t="s">
        <v>384</v>
      </c>
      <c r="AC13" s="231"/>
    </row>
    <row r="14" spans="1:29" ht="15.0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30"/>
      <c r="AA14" s="231"/>
      <c r="AB14" s="231"/>
      <c r="AC14" s="231"/>
    </row>
    <row r="15" spans="1:29" ht="15.0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30"/>
      <c r="AA15" s="231"/>
      <c r="AB15" s="231" t="s">
        <v>385</v>
      </c>
      <c r="AC15" s="231"/>
    </row>
    <row r="16" spans="1:29" ht="15.05" customHeight="1">
      <c r="A16" s="21"/>
      <c r="B16" s="21"/>
      <c r="C16" s="21"/>
      <c r="D16" s="21"/>
      <c r="E16" s="21"/>
      <c r="F16" s="21" t="s">
        <v>992</v>
      </c>
      <c r="G16" s="21"/>
      <c r="H16" s="21"/>
      <c r="I16" s="232" t="s">
        <v>522</v>
      </c>
      <c r="J16" s="232"/>
      <c r="K16" s="232"/>
      <c r="L16" s="21"/>
      <c r="M16" s="21"/>
      <c r="N16" s="21"/>
      <c r="O16" s="21"/>
      <c r="P16" s="21"/>
      <c r="Q16" s="21"/>
      <c r="R16" s="230"/>
      <c r="AA16" s="231"/>
      <c r="AB16" s="231"/>
      <c r="AC16" s="231"/>
    </row>
    <row r="17" spans="1:29" ht="15.05" customHeight="1">
      <c r="A17" s="21"/>
      <c r="B17" s="21"/>
      <c r="C17" s="21"/>
      <c r="D17" s="21"/>
      <c r="E17" s="21"/>
      <c r="F17" s="233">
        <v>44330</v>
      </c>
      <c r="G17" s="21"/>
      <c r="H17" s="21"/>
      <c r="I17" s="232"/>
      <c r="J17" s="232"/>
      <c r="K17" s="232"/>
      <c r="L17" s="21"/>
      <c r="M17" s="21"/>
      <c r="N17" s="21"/>
      <c r="O17" s="21"/>
      <c r="P17" s="21"/>
      <c r="Q17" s="21"/>
      <c r="R17" s="230"/>
      <c r="AA17" s="231"/>
      <c r="AB17" s="231"/>
      <c r="AC17" s="231"/>
    </row>
    <row r="18" spans="1:29" ht="15.05" customHeight="1">
      <c r="A18" s="21"/>
      <c r="B18" s="21"/>
      <c r="C18" s="21"/>
      <c r="D18" s="21"/>
      <c r="E18" s="21"/>
      <c r="F18" s="21"/>
      <c r="G18" s="21"/>
      <c r="H18" s="21"/>
      <c r="I18" s="232"/>
      <c r="J18" s="232"/>
      <c r="K18" s="232"/>
      <c r="L18" s="21"/>
      <c r="M18" s="21"/>
      <c r="N18" s="21"/>
      <c r="O18" s="21"/>
      <c r="P18" s="21"/>
      <c r="Q18" s="21"/>
      <c r="R18" s="230"/>
      <c r="AA18" s="114"/>
      <c r="AB18" s="114"/>
      <c r="AC18" s="114"/>
    </row>
    <row r="19" spans="1:29" ht="15.0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30"/>
      <c r="AA19" s="114"/>
      <c r="AB19" s="114"/>
      <c r="AC19" s="114"/>
    </row>
    <row r="20" spans="1:29" ht="15.0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30"/>
      <c r="AA20" s="114"/>
      <c r="AB20" s="114"/>
      <c r="AC20" s="114"/>
    </row>
    <row r="21" spans="1:29" ht="15.0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30"/>
      <c r="AA21" s="114"/>
      <c r="AB21" s="114"/>
      <c r="AC21" s="114"/>
    </row>
    <row r="22" spans="1:29" ht="15.0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30"/>
      <c r="AA22" s="114"/>
      <c r="AB22" s="114"/>
      <c r="AC22" s="114"/>
    </row>
    <row r="23" spans="1:29" ht="15.0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30"/>
      <c r="AA23" s="114"/>
      <c r="AB23" s="114"/>
      <c r="AC23" s="114"/>
    </row>
    <row r="24" spans="1:29" ht="15.0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30"/>
      <c r="AA24" s="114"/>
      <c r="AB24" s="114"/>
      <c r="AC24" s="114"/>
    </row>
    <row r="25" spans="1:29" ht="15.0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30"/>
      <c r="AA25" s="114"/>
      <c r="AB25" s="114"/>
      <c r="AC25" s="114"/>
    </row>
    <row r="26" spans="1:29" ht="15.0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30"/>
      <c r="AA26" s="114"/>
      <c r="AB26" s="114"/>
      <c r="AC26" s="114"/>
    </row>
    <row r="27" spans="1:29" ht="15.0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30"/>
      <c r="AA27" s="114"/>
      <c r="AB27" s="114"/>
      <c r="AC27" s="114"/>
    </row>
    <row r="28" spans="1:29" ht="15.0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30"/>
      <c r="AA28" s="114"/>
      <c r="AB28" s="114"/>
      <c r="AC28" s="114"/>
    </row>
    <row r="29" spans="1:29" ht="15.0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30"/>
      <c r="AA29" s="114"/>
      <c r="AB29" s="114"/>
      <c r="AC29" s="114"/>
    </row>
    <row r="30" spans="1:29" ht="15.0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30"/>
      <c r="AA30" s="114"/>
      <c r="AB30" s="114"/>
      <c r="AC30" s="114"/>
    </row>
    <row r="31" spans="1:29" ht="15.0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30"/>
      <c r="AA31" s="114"/>
      <c r="AB31" s="114"/>
      <c r="AC31" s="114"/>
    </row>
    <row r="32" spans="1:29" ht="15.0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30"/>
      <c r="AA32" s="114"/>
      <c r="AB32" s="114"/>
      <c r="AC32" s="114"/>
    </row>
    <row r="33" spans="1:29" ht="15.0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30"/>
      <c r="AA33" s="114"/>
      <c r="AB33" s="114"/>
      <c r="AC33" s="114"/>
    </row>
    <row r="34" spans="1:29" ht="15.0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AA34" s="114"/>
      <c r="AB34" s="114"/>
      <c r="AC34" s="114"/>
    </row>
    <row r="35" spans="1:29" ht="15.0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AA35" s="114"/>
      <c r="AB35" s="114"/>
      <c r="AC35" s="114"/>
    </row>
    <row r="36" spans="1:29" ht="15.0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29" ht="15.0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9" ht="15.0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29" ht="15.0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29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29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29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29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29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29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29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29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9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  <row r="61" spans="1:18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</row>
  </sheetData>
  <sheetProtection algorithmName="SHA-512" hashValue="DR6NyWnhr6CX5errkUQpYCI5otnzeW7VzegJ1k8MybZdJJQimao159HPvBZ77PmcGFyjBY3DU4VuUKumR9BUbQ==" saltValue="s4wPQJZGIShx5QLlglBWFg==" spinCount="100000" sheet="1" objects="1" scenarios="1" selectLockedCells="1" selectUnlockedCells="1"/>
  <mergeCells count="1">
    <mergeCell ref="I16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RM CHIEN - Unegamelleautop.fr</vt:lpstr>
      <vt:lpstr>CTRL</vt:lpstr>
      <vt:lpstr>CMV</vt:lpstr>
      <vt:lpstr>HLS</vt:lpstr>
      <vt:lpstr>LGS</vt:lpstr>
      <vt:lpstr>FCS</vt:lpstr>
      <vt:lpstr>VDS</vt:lpstr>
      <vt:lpstr>OPT1</vt:lpstr>
      <vt:lpstr>OPT2</vt:lpstr>
    </vt:vector>
  </TitlesOfParts>
  <LinksUpToDate>false</LinksUpToDate>
  <SharedDoc>false</SharedDoc>
  <HyperlinkBase>https://www.facebook.com/groups/CroquettesCommentChoisir/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DEHON</dc:creator>
  <cp:lastModifiedBy>Damien Dehon</cp:lastModifiedBy>
  <cp:lastPrinted>2016-12-27T10:50:24Z</cp:lastPrinted>
  <dcterms:created xsi:type="dcterms:W3CDTF">2016-08-18T09:44:54Z</dcterms:created>
  <dcterms:modified xsi:type="dcterms:W3CDTF">2025-01-20T14:31:31Z</dcterms:modified>
</cp:coreProperties>
</file>