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Mon Drive\Une gamelle au top\Calculateurs\__ LIVRAISON __\FTP\"/>
    </mc:Choice>
  </mc:AlternateContent>
  <xr:revisionPtr revIDLastSave="0" documentId="8_{21FA5654-C1FB-44FE-8A23-1C1207A6E08D}" xr6:coauthVersionLast="47" xr6:coauthVersionMax="47" xr10:uidLastSave="{00000000-0000-0000-0000-000000000000}"/>
  <bookViews>
    <workbookView xWindow="-118" yWindow="-14256" windowWidth="25370" windowHeight="13654" xr2:uid="{4AC0CF10-4E4F-4F60-8001-1EB7592FDAFF}"/>
  </bookViews>
  <sheets>
    <sheet name="CHIEN - Unegamelleautop.f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AA32" i="3"/>
  <c r="AA33" i="3"/>
  <c r="AI146" i="3"/>
  <c r="AI145" i="3"/>
  <c r="AI144" i="3"/>
  <c r="AI143" i="3"/>
  <c r="AI142" i="3"/>
  <c r="AI141" i="3"/>
  <c r="AI140" i="3"/>
  <c r="AI139" i="3"/>
  <c r="AI138" i="3"/>
  <c r="AI137" i="3"/>
  <c r="AI136" i="3"/>
  <c r="AI135" i="3"/>
  <c r="AI134" i="3"/>
  <c r="AI133" i="3"/>
  <c r="AI132" i="3"/>
  <c r="AI131" i="3"/>
  <c r="AI130" i="3"/>
  <c r="AI129" i="3"/>
  <c r="AI128" i="3"/>
  <c r="AI127" i="3"/>
  <c r="AI126" i="3"/>
  <c r="AI125" i="3"/>
  <c r="AI124" i="3"/>
  <c r="AI123" i="3"/>
  <c r="AH59" i="3"/>
  <c r="AJ16" i="3"/>
  <c r="E20" i="3"/>
  <c r="E23" i="3"/>
  <c r="Y118" i="3"/>
  <c r="Z118" i="3"/>
  <c r="E21" i="3"/>
  <c r="L58" i="3"/>
  <c r="Z4" i="3"/>
  <c r="Z3" i="3"/>
  <c r="Z68" i="3"/>
  <c r="Z63" i="3"/>
  <c r="Z62" i="3"/>
  <c r="Z61" i="3"/>
  <c r="X66" i="3"/>
  <c r="AH34" i="3"/>
  <c r="Z146" i="3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5" i="3"/>
  <c r="Z22" i="3"/>
  <c r="AG1" i="3"/>
  <c r="AF1" i="3"/>
  <c r="AK47" i="3"/>
  <c r="AL47" i="3"/>
  <c r="X145" i="3"/>
  <c r="X146" i="3"/>
  <c r="X136" i="3"/>
  <c r="X137" i="3"/>
  <c r="X138" i="3"/>
  <c r="X139" i="3"/>
  <c r="X140" i="3"/>
  <c r="X141" i="3"/>
  <c r="X142" i="3"/>
  <c r="X143" i="3"/>
  <c r="X144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23" i="3"/>
  <c r="X93" i="3"/>
  <c r="AD119" i="3"/>
  <c r="AD118" i="3"/>
  <c r="AE119" i="3"/>
  <c r="AE118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AC52" i="3"/>
  <c r="AC51" i="3"/>
  <c r="AC50" i="3"/>
  <c r="AC49" i="3"/>
  <c r="AC48" i="3"/>
  <c r="AC56" i="3"/>
  <c r="Z43" i="3"/>
  <c r="Z44" i="3"/>
  <c r="Z45" i="3"/>
  <c r="Z46" i="3"/>
  <c r="Z47" i="3"/>
  <c r="Z49" i="3"/>
  <c r="Z50" i="3"/>
  <c r="Z51" i="3"/>
  <c r="Z10" i="3"/>
  <c r="Z41" i="3"/>
  <c r="Z40" i="3"/>
  <c r="Z42" i="3"/>
  <c r="Z9" i="3"/>
  <c r="Z52" i="3"/>
  <c r="Z53" i="3"/>
  <c r="L24" i="3"/>
  <c r="Z69" i="3"/>
  <c r="AC44" i="3"/>
  <c r="AC47" i="3"/>
  <c r="AC46" i="3"/>
  <c r="AC42" i="3"/>
  <c r="AC41" i="3"/>
  <c r="AC40" i="3"/>
  <c r="E22" i="3"/>
  <c r="E25" i="3"/>
  <c r="Y75" i="3"/>
  <c r="AB75" i="3"/>
  <c r="AA75" i="3"/>
  <c r="Z74" i="3"/>
  <c r="Z75" i="3"/>
  <c r="AC65" i="3"/>
  <c r="AC64" i="3"/>
  <c r="AC66" i="3"/>
  <c r="X68" i="3"/>
  <c r="AH82" i="3"/>
  <c r="AA74" i="3"/>
  <c r="AC74" i="3"/>
  <c r="AB74" i="3"/>
  <c r="AZ4" i="3"/>
  <c r="AG34" i="3"/>
  <c r="X40" i="3"/>
  <c r="AG18" i="3"/>
  <c r="X49" i="3"/>
  <c r="AF74" i="3"/>
  <c r="AG74" i="3"/>
  <c r="AG75" i="3"/>
  <c r="X41" i="3"/>
  <c r="AG19" i="3"/>
  <c r="X50" i="3"/>
  <c r="AD74" i="3"/>
  <c r="AD75" i="3"/>
  <c r="AE74" i="3"/>
  <c r="AE75" i="3"/>
  <c r="AD65" i="3"/>
  <c r="AZ5" i="3"/>
  <c r="AZ12" i="3"/>
  <c r="E24" i="3"/>
  <c r="X75" i="3"/>
  <c r="AZ6" i="3"/>
  <c r="AJ47" i="3"/>
  <c r="AI47" i="3"/>
  <c r="AH47" i="3"/>
  <c r="AG47" i="3"/>
  <c r="AF47" i="3"/>
  <c r="F14" i="3"/>
  <c r="F12" i="3"/>
  <c r="F11" i="3"/>
  <c r="F10" i="3"/>
  <c r="F9" i="3"/>
  <c r="F18" i="3"/>
  <c r="F19" i="3"/>
  <c r="AZ11" i="3"/>
  <c r="AZ13" i="3"/>
  <c r="AZ27" i="3"/>
  <c r="AZ7" i="3"/>
  <c r="AZ8" i="3"/>
  <c r="AG60" i="3"/>
  <c r="AG61" i="3"/>
  <c r="AZ9" i="3"/>
  <c r="AG62" i="3"/>
  <c r="AZ23" i="3"/>
  <c r="AZ24" i="3"/>
  <c r="AZ25" i="3"/>
  <c r="AZ26" i="3"/>
  <c r="AZ22" i="3"/>
  <c r="AZ21" i="3"/>
  <c r="AZ20" i="3"/>
  <c r="AZ19" i="3"/>
  <c r="AZ18" i="3"/>
  <c r="AZ17" i="3"/>
  <c r="AZ16" i="3"/>
  <c r="AZ15" i="3"/>
  <c r="AZ14" i="3"/>
  <c r="AZ10" i="3"/>
  <c r="Z66" i="3"/>
  <c r="Z23" i="3"/>
  <c r="Z25" i="3"/>
  <c r="AH74" i="3"/>
  <c r="AB26" i="3"/>
  <c r="Z27" i="3"/>
  <c r="Z28" i="3"/>
  <c r="Z26" i="3"/>
  <c r="Z65" i="3"/>
  <c r="AC45" i="3"/>
  <c r="AC43" i="3"/>
  <c r="Z48" i="3"/>
  <c r="L16" i="3"/>
  <c r="AF75" i="3"/>
  <c r="AH75" i="3"/>
  <c r="AC75" i="3"/>
  <c r="J14" i="3"/>
  <c r="J12" i="3"/>
  <c r="J19" i="3"/>
  <c r="AF7" i="3"/>
  <c r="J18" i="3"/>
  <c r="J16" i="3"/>
  <c r="I14" i="3"/>
  <c r="AK3" i="3"/>
  <c r="Z11" i="3"/>
  <c r="J11" i="3"/>
  <c r="J9" i="3"/>
  <c r="J10" i="3"/>
  <c r="AC11" i="3"/>
  <c r="Z57" i="3"/>
  <c r="J20" i="3"/>
  <c r="I15" i="3"/>
  <c r="AC61" i="3"/>
  <c r="I16" i="3"/>
  <c r="Z54" i="3"/>
  <c r="L10" i="3"/>
  <c r="Z12" i="3"/>
  <c r="K15" i="3"/>
  <c r="AC62" i="3"/>
  <c r="L9" i="3"/>
  <c r="L19" i="3"/>
  <c r="L14" i="3"/>
  <c r="L18" i="3"/>
  <c r="L20" i="3"/>
  <c r="L11" i="3"/>
  <c r="K16" i="3"/>
  <c r="Z55" i="3"/>
  <c r="AC58" i="3"/>
  <c r="K14" i="3"/>
  <c r="AK9" i="3"/>
  <c r="AG7" i="3"/>
  <c r="Z58" i="3"/>
  <c r="L12" i="3"/>
  <c r="AC12" i="3"/>
  <c r="K20" i="3"/>
  <c r="AC57" i="3"/>
  <c r="I20" i="3"/>
  <c r="AC55" i="3"/>
  <c r="AB37" i="3"/>
  <c r="AK60" i="3"/>
  <c r="B28" i="3"/>
  <c r="AB34" i="3"/>
  <c r="B29" i="3"/>
  <c r="Z56" i="3"/>
  <c r="AJ42" i="3"/>
  <c r="AJ40" i="3"/>
  <c r="AG41" i="3"/>
  <c r="AJ43" i="3"/>
  <c r="AK61" i="3"/>
  <c r="AA34" i="3"/>
  <c r="AG39" i="3"/>
  <c r="AA35" i="3"/>
  <c r="AJ38" i="3"/>
  <c r="Z83" i="3"/>
  <c r="F21" i="3"/>
  <c r="AG42" i="3"/>
  <c r="AG40" i="3"/>
  <c r="AB32" i="3"/>
  <c r="AB33" i="3"/>
  <c r="Z85" i="3"/>
  <c r="AK59" i="3"/>
  <c r="AG43" i="3"/>
  <c r="AJ39" i="3"/>
  <c r="AG38" i="3"/>
  <c r="AG44" i="3"/>
  <c r="C29" i="3"/>
  <c r="AJ41" i="3"/>
  <c r="AJ44" i="3"/>
  <c r="AL62" i="3"/>
  <c r="B30" i="3"/>
  <c r="AK4" i="3"/>
  <c r="AK5" i="3"/>
  <c r="AK6" i="3"/>
  <c r="AD11" i="3"/>
  <c r="AA21" i="3"/>
  <c r="Z24" i="3"/>
  <c r="Z29" i="3"/>
  <c r="AC13" i="3"/>
  <c r="Z59" i="3"/>
  <c r="F15" i="3"/>
  <c r="AF3" i="3"/>
  <c r="AF4" i="3"/>
  <c r="AF5" i="3"/>
  <c r="AF2" i="3"/>
  <c r="AC14" i="3"/>
  <c r="AD12" i="3"/>
  <c r="AA22" i="3"/>
  <c r="AK10" i="3"/>
  <c r="AK11" i="3"/>
  <c r="AK12" i="3"/>
  <c r="AG2" i="3"/>
  <c r="AG3" i="3"/>
  <c r="AG4" i="3"/>
  <c r="AG5" i="3"/>
  <c r="AI35" i="3"/>
  <c r="AG37" i="3"/>
  <c r="AA36" i="3"/>
  <c r="AJ37" i="3"/>
  <c r="AK62" i="3"/>
  <c r="F25" i="3"/>
  <c r="K42" i="3"/>
  <c r="K41" i="3"/>
  <c r="K43" i="3"/>
  <c r="F16" i="3"/>
  <c r="AC59" i="3"/>
  <c r="F20" i="3"/>
  <c r="AA23" i="3"/>
  <c r="AA37" i="3"/>
  <c r="AC36" i="3"/>
  <c r="AC37" i="3"/>
  <c r="AH35" i="3"/>
  <c r="AG35" i="3"/>
  <c r="AJ35" i="3"/>
  <c r="Z21" i="3"/>
  <c r="Z7" i="3"/>
  <c r="F35" i="3"/>
  <c r="I37" i="3"/>
  <c r="I36" i="3"/>
  <c r="AL43" i="3"/>
  <c r="AL42" i="3"/>
  <c r="AA7" i="3"/>
  <c r="Z17" i="3"/>
  <c r="Y77" i="3"/>
  <c r="AG12" i="3"/>
  <c r="AE84" i="3"/>
  <c r="AJ46" i="3"/>
  <c r="AK43" i="3"/>
  <c r="AH42" i="3"/>
  <c r="F32" i="3"/>
  <c r="H37" i="3"/>
  <c r="K33" i="3"/>
  <c r="K37" i="3"/>
  <c r="AH40" i="3"/>
  <c r="AK41" i="3"/>
  <c r="AE79" i="3"/>
  <c r="AG84" i="3"/>
  <c r="Z13" i="3"/>
  <c r="AI40" i="3"/>
  <c r="AL41" i="3"/>
  <c r="AC67" i="3"/>
  <c r="H35" i="3"/>
  <c r="AG79" i="3"/>
  <c r="AK46" i="3"/>
  <c r="AL40" i="3"/>
  <c r="AI41" i="3"/>
  <c r="AG29" i="3"/>
  <c r="AE80" i="3"/>
  <c r="L35" i="3"/>
  <c r="AI46" i="3"/>
  <c r="AK40" i="3"/>
  <c r="AH41" i="3"/>
  <c r="AG31" i="3"/>
  <c r="AF80" i="3"/>
  <c r="Y81" i="3"/>
  <c r="H36" i="3"/>
  <c r="AH38" i="3"/>
  <c r="J30" i="3"/>
  <c r="AA6" i="3"/>
  <c r="Z16" i="3"/>
  <c r="Y76" i="3"/>
  <c r="J37" i="3"/>
  <c r="AC16" i="3"/>
  <c r="AC79" i="3"/>
  <c r="F37" i="3"/>
  <c r="J35" i="3"/>
  <c r="AD79" i="3"/>
  <c r="AL48" i="3"/>
  <c r="J33" i="3"/>
  <c r="AF13" i="3"/>
  <c r="AG16" i="3"/>
  <c r="I35" i="3"/>
  <c r="Z14" i="3"/>
  <c r="AI42" i="3"/>
  <c r="AB84" i="3"/>
  <c r="AD80" i="3"/>
  <c r="AL46" i="3"/>
  <c r="AK42" i="3"/>
  <c r="J29" i="3"/>
  <c r="G37" i="3"/>
  <c r="AD84" i="3"/>
  <c r="L37" i="3"/>
  <c r="AK39" i="3"/>
  <c r="AF12" i="3"/>
  <c r="AG15" i="3"/>
  <c r="AB79" i="3"/>
  <c r="I33" i="3"/>
  <c r="AL39" i="3"/>
  <c r="G35" i="3"/>
  <c r="AA81" i="3"/>
  <c r="AH39" i="3"/>
  <c r="AH79" i="3"/>
  <c r="AI39" i="3"/>
  <c r="AB80" i="3"/>
  <c r="AB36" i="3"/>
  <c r="AA80" i="3"/>
  <c r="L33" i="3"/>
  <c r="AI43" i="3"/>
  <c r="AI51" i="3"/>
  <c r="AA84" i="3"/>
  <c r="G36" i="3"/>
  <c r="AH43" i="3"/>
  <c r="AL38" i="3"/>
  <c r="AK38" i="3"/>
  <c r="AI38" i="3"/>
  <c r="AA79" i="3"/>
  <c r="K36" i="3"/>
  <c r="AF84" i="3"/>
  <c r="AG67" i="3"/>
  <c r="AF79" i="3"/>
  <c r="K35" i="3"/>
  <c r="AH51" i="3"/>
  <c r="AJ51" i="3" s="1"/>
  <c r="AL51" i="3" s="1"/>
  <c r="Z6" i="3"/>
  <c r="AC80" i="3"/>
  <c r="F29" i="3"/>
  <c r="AC84" i="3"/>
  <c r="AG46" i="3"/>
  <c r="F33" i="3"/>
  <c r="AH46" i="3"/>
  <c r="AG32" i="3"/>
  <c r="J36" i="3"/>
  <c r="F30" i="3"/>
  <c r="AF46" i="3"/>
  <c r="F36" i="3"/>
  <c r="AG80" i="3"/>
  <c r="AG13" i="3"/>
  <c r="AG28" i="3"/>
  <c r="AA5" i="3"/>
  <c r="L36" i="3"/>
  <c r="Z67" i="3"/>
  <c r="AI44" i="3"/>
  <c r="AH44" i="3"/>
  <c r="AL44" i="3"/>
  <c r="AK44" i="3"/>
  <c r="J44" i="3"/>
  <c r="H44" i="3"/>
  <c r="K44" i="3"/>
  <c r="AH77" i="3"/>
  <c r="AF77" i="3"/>
  <c r="AA77" i="3"/>
  <c r="AD77" i="3"/>
  <c r="AB77" i="3"/>
  <c r="AC77" i="3"/>
  <c r="AE77" i="3"/>
  <c r="Z77" i="3"/>
  <c r="AG77" i="3"/>
  <c r="AK37" i="3"/>
  <c r="AH7" i="3"/>
  <c r="AI37" i="3"/>
  <c r="AL37" i="3"/>
  <c r="AK35" i="3"/>
  <c r="AH37" i="3"/>
  <c r="J31" i="3"/>
  <c r="F31" i="3"/>
  <c r="AD76" i="3"/>
  <c r="AC76" i="3"/>
  <c r="Y78" i="3"/>
  <c r="AF76" i="3"/>
  <c r="AB76" i="3"/>
  <c r="AG76" i="3"/>
  <c r="AE76" i="3"/>
  <c r="AH76" i="3"/>
  <c r="Z76" i="3"/>
  <c r="AA76" i="3"/>
  <c r="AA78" i="3"/>
  <c r="AH78" i="3"/>
  <c r="Z78" i="3"/>
  <c r="AE78" i="3"/>
  <c r="AG78" i="3"/>
  <c r="AG81" i="3"/>
  <c r="AB78" i="3"/>
  <c r="AF78" i="3"/>
  <c r="AC78" i="3"/>
  <c r="AD78" i="3"/>
  <c r="AL49" i="3"/>
  <c r="Y80" i="3"/>
  <c r="AI45" i="3" l="1"/>
  <c r="AK45" i="3"/>
  <c r="AL45" i="3"/>
  <c r="AH45" i="3"/>
  <c r="AG45" i="3"/>
  <c r="AJ45" i="3"/>
</calcChain>
</file>

<file path=xl/sharedStrings.xml><?xml version="1.0" encoding="utf-8"?>
<sst xmlns="http://schemas.openxmlformats.org/spreadsheetml/2006/main" count="701" uniqueCount="602">
  <si>
    <t>Airedale Terrier</t>
  </si>
  <si>
    <t>Akita Américain</t>
  </si>
  <si>
    <t>Barbet</t>
  </si>
  <si>
    <t>Basenji</t>
  </si>
  <si>
    <t>Beagle</t>
  </si>
  <si>
    <t>Beagle Harrier</t>
  </si>
  <si>
    <t>Beauceron</t>
  </si>
  <si>
    <t>Bedlington Terrier</t>
  </si>
  <si>
    <t>Berger Belge Malinois</t>
  </si>
  <si>
    <t>Berger Catalan</t>
  </si>
  <si>
    <t>Berger des Pyrénées</t>
  </si>
  <si>
    <t>Bichon Bolonais</t>
  </si>
  <si>
    <t>Bichon Frisé</t>
  </si>
  <si>
    <t>Bichon Maltais</t>
  </si>
  <si>
    <t>Bouvier des Flandres</t>
  </si>
  <si>
    <t>Boxer</t>
  </si>
  <si>
    <t>Buhund Norvégien</t>
  </si>
  <si>
    <t>Bull Mastif</t>
  </si>
  <si>
    <t>Cairn Terrier</t>
  </si>
  <si>
    <t>Cavalier King Charles</t>
  </si>
  <si>
    <t>Chien d'eau Portugais</t>
  </si>
  <si>
    <t>Chien d’Elan Suédois</t>
  </si>
  <si>
    <t>Chien d’Ours de Carélie</t>
  </si>
  <si>
    <t>Chien de Berger Islandais</t>
  </si>
  <si>
    <t>Chien du Groendland</t>
  </si>
  <si>
    <t>Chien Norvégien de Macareux</t>
  </si>
  <si>
    <t>Chien Suédois de Laponie</t>
  </si>
  <si>
    <t>Chien-loup de Saarloos</t>
  </si>
  <si>
    <t>Chien-loup tchèque</t>
  </si>
  <si>
    <t>Chowchow</t>
  </si>
  <si>
    <t>Cirneco Dell’Etna</t>
  </si>
  <si>
    <t>Cocker Américain</t>
  </si>
  <si>
    <t>Doberman</t>
  </si>
  <si>
    <t>Epagneul Breton</t>
  </si>
  <si>
    <t>Epagneul Picard</t>
  </si>
  <si>
    <t>Galgo</t>
  </si>
  <si>
    <t>Griffon Korthals</t>
  </si>
  <si>
    <t>Hovawart</t>
  </si>
  <si>
    <t>Laïka de Sibérie Occidentale</t>
  </si>
  <si>
    <t>Laïka de Sibérie Orientale</t>
  </si>
  <si>
    <t>Laïka Russo-Européen</t>
  </si>
  <si>
    <t>Leonberg</t>
  </si>
  <si>
    <t>Levrier Afghan</t>
  </si>
  <si>
    <t>Lévrier Irlandais</t>
  </si>
  <si>
    <t>Lhassa Apso</t>
  </si>
  <si>
    <t>Malamute d’Alaska</t>
  </si>
  <si>
    <t>Mastiff</t>
  </si>
  <si>
    <t>Montagne des Pyrénées</t>
  </si>
  <si>
    <t>Petit Lévrier Italien</t>
  </si>
  <si>
    <t>Rottweiler</t>
  </si>
  <si>
    <t>Saint Bernard</t>
  </si>
  <si>
    <t>Saluki</t>
  </si>
  <si>
    <t>Samoyède</t>
  </si>
  <si>
    <t>Setter Anglais</t>
  </si>
  <si>
    <t>Setter Irlandais</t>
  </si>
  <si>
    <t>Sloughi</t>
  </si>
  <si>
    <t>Spitz Allemand Grand</t>
  </si>
  <si>
    <t>Spitz Allemand Petit</t>
  </si>
  <si>
    <t>Spitz de Norrbotten</t>
  </si>
  <si>
    <t>Spitz des Wisigoths</t>
  </si>
  <si>
    <t>Spitz Finlandais</t>
  </si>
  <si>
    <t>Staffordshire Bull Terrier</t>
  </si>
  <si>
    <t>Teckel</t>
  </si>
  <si>
    <t>Terre-Neuve</t>
  </si>
  <si>
    <t>Terrier Tibétain</t>
  </si>
  <si>
    <t>Yorkshire Terrier</t>
  </si>
  <si>
    <t>K1 - Racial</t>
  </si>
  <si>
    <t>Normal</t>
  </si>
  <si>
    <t>Convalescence</t>
  </si>
  <si>
    <t>K2 - Comportement</t>
  </si>
  <si>
    <t>Entier</t>
  </si>
  <si>
    <t>Castré</t>
  </si>
  <si>
    <t>Stérilisée</t>
  </si>
  <si>
    <t>K3 - Physiologie</t>
  </si>
  <si>
    <t>Adulte</t>
  </si>
  <si>
    <t>Gestation 1er tiers</t>
  </si>
  <si>
    <t>Gestation 2ème tiers</t>
  </si>
  <si>
    <t>Gestation 3ème tiers</t>
  </si>
  <si>
    <t>Léger surpoids</t>
  </si>
  <si>
    <t>Un peu trop maigre</t>
  </si>
  <si>
    <t>K4 - Sanitaire</t>
  </si>
  <si>
    <t>Kc - Climatique</t>
  </si>
  <si>
    <t>Intérieur</t>
  </si>
  <si>
    <t>Extérieur (été &gt; +30°c)</t>
  </si>
  <si>
    <t>Autre race ou race croisée</t>
  </si>
  <si>
    <t>Xoloitzcuintle</t>
  </si>
  <si>
    <t>Barzoï</t>
  </si>
  <si>
    <t>Validation entrée choix</t>
  </si>
  <si>
    <t>Welsh Corgi</t>
  </si>
  <si>
    <t xml:space="preserve">SCORE BEE  </t>
  </si>
  <si>
    <t xml:space="preserve">Lactation </t>
  </si>
  <si>
    <t>Petit mangeur</t>
  </si>
  <si>
    <t>Gourmand</t>
  </si>
  <si>
    <t>BASE DE DONNEES FACTEURS DE CORRECTION / RPC MINIMUM</t>
  </si>
  <si>
    <t>Ka - Appetit</t>
  </si>
  <si>
    <t>Chiot (20-35kg adulte) 9 à 10 mois</t>
  </si>
  <si>
    <t>Chiot (20-35kg adulte) 11 à 15 mois</t>
  </si>
  <si>
    <t xml:space="preserve">Chiot (35-50kg adulte) 3 à 5 mois </t>
  </si>
  <si>
    <t xml:space="preserve">Chiot (35-50kg adulte) 14 à 18 mois </t>
  </si>
  <si>
    <t xml:space="preserve">Chiot (&gt; 50kg adulte) 3 à 6 mois </t>
  </si>
  <si>
    <t xml:space="preserve">Chiot (&gt; 50kg adulte) 14 à 21 mois </t>
  </si>
  <si>
    <t>K3' - Hormonal</t>
  </si>
  <si>
    <t xml:space="preserve">Vraiment gros (obèse) </t>
  </si>
  <si>
    <t>Vraiment maigre (cachectique)</t>
  </si>
  <si>
    <t>RPC "standard" pour un</t>
  </si>
  <si>
    <t>OBJECTIF BE  /  RPC MIN  /  RPC OPTIMISE</t>
  </si>
  <si>
    <t>DETERMINATION DU RPC OPTIMAL</t>
  </si>
  <si>
    <t>RPC MAX</t>
  </si>
  <si>
    <t>SCORING AFFICHAGE DES RESULTATS</t>
  </si>
  <si>
    <t>1 = désactivé</t>
  </si>
  <si>
    <t>Niveau
intermédiaire
entre RCP min.
et RCP CCC</t>
  </si>
  <si>
    <t>RPC de base par poids (&lt;10 10-25 &gt;25 kg)</t>
  </si>
  <si>
    <t>Sans LOCK</t>
  </si>
  <si>
    <t>SCORE CROQ</t>
  </si>
  <si>
    <t>Protéines</t>
  </si>
  <si>
    <t>Lipides</t>
  </si>
  <si>
    <t>Fibres</t>
  </si>
  <si>
    <t>Cendres</t>
  </si>
  <si>
    <t>Humidité</t>
  </si>
  <si>
    <t>Ca</t>
  </si>
  <si>
    <t>P</t>
  </si>
  <si>
    <t>% indiqués sur le paquet</t>
  </si>
  <si>
    <t>% en matière sèche</t>
  </si>
  <si>
    <t>SCORE PATEE</t>
  </si>
  <si>
    <t>PATEE</t>
  </si>
  <si>
    <t>SCORE CA/P CROQ</t>
  </si>
  <si>
    <t>SCORE CA/P PATEE</t>
  </si>
  <si>
    <t>% croquettes</t>
  </si>
  <si>
    <t>SCORE % CROQ</t>
  </si>
  <si>
    <t>BE</t>
  </si>
  <si>
    <t>EM patée</t>
  </si>
  <si>
    <t>EM croquette</t>
  </si>
  <si>
    <t>Cas de figure</t>
  </si>
  <si>
    <t>100% croquettes (1)</t>
  </si>
  <si>
    <t>100% patée (2)</t>
  </si>
  <si>
    <t>mix (3)</t>
  </si>
  <si>
    <t>Scoring à 3 si OK</t>
  </si>
  <si>
    <t>Scoring final</t>
  </si>
  <si>
    <t>des CROQUETTES</t>
  </si>
  <si>
    <t>de la PÂTEE</t>
  </si>
  <si>
    <t>Formules</t>
  </si>
  <si>
    <t>CROQUETTES</t>
  </si>
  <si>
    <t>Score CROQUETTES</t>
  </si>
  <si>
    <t>Score PATEE</t>
  </si>
  <si>
    <t>Score CA/P CROQ</t>
  </si>
  <si>
    <t>Score CA/P PATEE</t>
  </si>
  <si>
    <t>SCORE TOTAL INPUT</t>
  </si>
  <si>
    <t>SCORE TOTAL CA/P</t>
  </si>
  <si>
    <t>Husky (lignée de travail)</t>
  </si>
  <si>
    <t>Husky (lignée "de maison")</t>
  </si>
  <si>
    <t>Merci de remplir les petites cases grises</t>
  </si>
  <si>
    <t>Fibres &gt; 8%</t>
  </si>
  <si>
    <t>Gestion des erreurs</t>
  </si>
  <si>
    <t>ENA CROQ</t>
  </si>
  <si>
    <t>ENA PATEE</t>
  </si>
  <si>
    <t>Textes supplémentaires</t>
  </si>
  <si>
    <t>Détermination CA et P</t>
  </si>
  <si>
    <t>CROQ</t>
  </si>
  <si>
    <t>Détermination CA et P finale</t>
  </si>
  <si>
    <t>En fonction des cas :</t>
  </si>
  <si>
    <t>Scoring affichage</t>
  </si>
  <si>
    <t>Flag en fonction des cas :</t>
  </si>
  <si>
    <t>Normal (1h de sortie)</t>
  </si>
  <si>
    <t>Calme (moins d'1h de sortie)</t>
  </si>
  <si>
    <t>Très calme (que le jardin)</t>
  </si>
  <si>
    <t>Actif / sportif (+1h30 de sortie)</t>
  </si>
  <si>
    <t>Hyperactif / grand sportif (+2h)</t>
  </si>
  <si>
    <t>DONNEES APPARTENANT A</t>
  </si>
  <si>
    <t>UTILISATION</t>
  </si>
  <si>
    <t>DIFFUSION</t>
  </si>
  <si>
    <t>COPIE</t>
  </si>
  <si>
    <t xml:space="preserve">MARGE </t>
  </si>
  <si>
    <t>ENA CROQ + MARGE</t>
  </si>
  <si>
    <t>ENA PATEE + MARGE</t>
  </si>
  <si>
    <r>
      <t xml:space="preserve"> Humidité (si inconnue : </t>
    </r>
    <r>
      <rPr>
        <sz val="12"/>
        <color indexed="60"/>
        <rFont val="Gill Sans MT"/>
        <family val="2"/>
      </rPr>
      <t>croquettes = 10</t>
    </r>
    <r>
      <rPr>
        <sz val="12"/>
        <color indexed="53"/>
        <rFont val="Gill Sans MT"/>
        <family val="2"/>
      </rPr>
      <t xml:space="preserve"> </t>
    </r>
    <r>
      <rPr>
        <sz val="12"/>
        <rFont val="Gill Sans MT"/>
        <family val="2"/>
      </rPr>
      <t>et</t>
    </r>
    <r>
      <rPr>
        <sz val="12"/>
        <color indexed="50"/>
        <rFont val="Gill Sans MT"/>
        <family val="2"/>
      </rPr>
      <t xml:space="preserve"> </t>
    </r>
    <r>
      <rPr>
        <sz val="12"/>
        <color indexed="19"/>
        <rFont val="Gill Sans MT"/>
        <family val="2"/>
      </rPr>
      <t>pâtée = 77</t>
    </r>
    <r>
      <rPr>
        <sz val="12"/>
        <rFont val="Gill Sans MT"/>
        <family val="2"/>
      </rPr>
      <t>)</t>
    </r>
  </si>
  <si>
    <t>Son poids IDEAL</t>
  </si>
  <si>
    <t>en kg</t>
  </si>
  <si>
    <t>Sa race</t>
  </si>
  <si>
    <t>Son activité</t>
  </si>
  <si>
    <t>Son stade de vie</t>
  </si>
  <si>
    <t>Est-il stérilisé</t>
  </si>
  <si>
    <t>Son état corporel</t>
  </si>
  <si>
    <t>Son lieu de vie</t>
  </si>
  <si>
    <t>Son appétit</t>
  </si>
  <si>
    <t>Alerte sur MS</t>
  </si>
  <si>
    <t>Seuil bas</t>
  </si>
  <si>
    <t>Niv 1 bas</t>
  </si>
  <si>
    <t>Niv 2 bas</t>
  </si>
  <si>
    <t>Seuil haut</t>
  </si>
  <si>
    <t>Niv 1 haut</t>
  </si>
  <si>
    <t>Niv 2 haut</t>
  </si>
  <si>
    <t>Glucides</t>
  </si>
  <si>
    <t>Calcium</t>
  </si>
  <si>
    <t>Phosphore</t>
  </si>
  <si>
    <t>Ca/P</t>
  </si>
  <si>
    <t>RPC final</t>
  </si>
  <si>
    <t>FEDIAF Nutritional Guidelines 2018</t>
  </si>
  <si>
    <t>Protéines (RPC AUTO)</t>
  </si>
  <si>
    <t>Message si ALERTE NIV2 RPC</t>
  </si>
  <si>
    <t>Message si ALERTE NIV1 RPC</t>
  </si>
  <si>
    <t>&lt;&gt;''''</t>
  </si>
  <si>
    <t xml:space="preserve">à la </t>
  </si>
  <si>
    <t>place</t>
  </si>
  <si>
    <t>de &gt;0</t>
  </si>
  <si>
    <t>depuis v2.0</t>
  </si>
  <si>
    <t>Gestion des messages  (à partir de v2.0)</t>
  </si>
  <si>
    <t>Ca/P antibug à partir de v2.0</t>
  </si>
  <si>
    <t>Croquettes</t>
  </si>
  <si>
    <t>Pâtée</t>
  </si>
  <si>
    <t>Si cas #1</t>
  </si>
  <si>
    <t>Si cas #2</t>
  </si>
  <si>
    <t>Cas de figure (flag)</t>
  </si>
  <si>
    <t>Cas 3 (flag)</t>
  </si>
  <si>
    <t>Si cas #3.1 (croq missing)</t>
  </si>
  <si>
    <t>Si cas #3.2 (patee missing)</t>
  </si>
  <si>
    <t>Si cas #3.3 (croq + patee)</t>
  </si>
  <si>
    <t>TEXTE FINAL</t>
  </si>
  <si>
    <t>Flag prix patée</t>
  </si>
  <si>
    <t>Flag prix croquette</t>
  </si>
  <si>
    <t>ENA croquette</t>
  </si>
  <si>
    <t>ENA pâtée</t>
  </si>
  <si>
    <t>Extérieur (vers +20°c)</t>
  </si>
  <si>
    <t>Extérieur (hiver +10°c)</t>
  </si>
  <si>
    <t>Extérieur (hiver &lt; 0°c)</t>
  </si>
  <si>
    <t>Budget croquettes</t>
  </si>
  <si>
    <t>Budget pâtée</t>
  </si>
  <si>
    <t>Budget TOTAL</t>
  </si>
  <si>
    <t>v2.1</t>
  </si>
  <si>
    <t>Flag prix croquettes</t>
  </si>
  <si>
    <t>Gestion de la partie budget</t>
  </si>
  <si>
    <t>2. Calcul de l’apport en énergie de la ration</t>
  </si>
  <si>
    <t>3. Calcul de la ration journalière à donner à Médor</t>
  </si>
  <si>
    <t>1. Determination du besoin énergétique</t>
  </si>
  <si>
    <t>4. Estimation de mon budget mensuel</t>
  </si>
  <si>
    <t>http://www.fediaf.org</t>
  </si>
  <si>
    <t>https://www.facco.fr</t>
  </si>
  <si>
    <t>Atwater</t>
  </si>
  <si>
    <t>Atwater modifié</t>
  </si>
  <si>
    <t>ENA Croquettes</t>
  </si>
  <si>
    <t>ENA Pâtée</t>
  </si>
  <si>
    <t>Affenpinscher</t>
  </si>
  <si>
    <t>Akita Inu</t>
  </si>
  <si>
    <t>Altdeutscher Schäferhund</t>
  </si>
  <si>
    <t>American Staffordshire Terrier</t>
  </si>
  <si>
    <t>Ariégois</t>
  </si>
  <si>
    <t>Azawakh</t>
  </si>
  <si>
    <t>Basset Artesien Normand</t>
  </si>
  <si>
    <t>Basset Bleu de Gascogne</t>
  </si>
  <si>
    <t>Basset Fauve de Bretagne</t>
  </si>
  <si>
    <t>Basset Hound</t>
  </si>
  <si>
    <t>Bearded Collie</t>
  </si>
  <si>
    <t>Berger Allemand</t>
  </si>
  <si>
    <t>Berger Australien</t>
  </si>
  <si>
    <t>Berger Belge Gronendael</t>
  </si>
  <si>
    <t>Berger Belge Laekenois</t>
  </si>
  <si>
    <t>Berger Belge Tervueren</t>
  </si>
  <si>
    <t>Berger Blanc Suisse</t>
  </si>
  <si>
    <t>Berger d’Anatolie</t>
  </si>
  <si>
    <t>Berger de Beauce</t>
  </si>
  <si>
    <t>Berger de Brie</t>
  </si>
  <si>
    <t>Berger des Shetland</t>
  </si>
  <si>
    <t>Berger Finnois de Laponie</t>
  </si>
  <si>
    <t>Berger Hollandais</t>
  </si>
  <si>
    <t>Berger Picard</t>
  </si>
  <si>
    <t>Bichon Havanais</t>
  </si>
  <si>
    <t>Bobtail</t>
  </si>
  <si>
    <t>Border Collie</t>
  </si>
  <si>
    <t>Border Terrier</t>
  </si>
  <si>
    <t>Boston Terrier</t>
  </si>
  <si>
    <t>Bouledogue Américain</t>
  </si>
  <si>
    <t>Bouledogue Français</t>
  </si>
  <si>
    <t>Bouvier Bernois</t>
  </si>
  <si>
    <t>Bouvier de l'Entlebuch</t>
  </si>
  <si>
    <t>Bouvier Australien</t>
  </si>
  <si>
    <t>Bouvier des Ardennes</t>
  </si>
  <si>
    <t>Braque Allemand</t>
  </si>
  <si>
    <t>Braque d'Auvergne</t>
  </si>
  <si>
    <t>Braque de Weimar</t>
  </si>
  <si>
    <t>Braque Français</t>
  </si>
  <si>
    <t>Braque Hongrois</t>
  </si>
  <si>
    <t>Bull Terrier</t>
  </si>
  <si>
    <t>Bulldog Anglais</t>
  </si>
  <si>
    <t>Caniche Grand</t>
  </si>
  <si>
    <t>Caniche Moyen</t>
  </si>
  <si>
    <t>Caniche Nain</t>
  </si>
  <si>
    <t>Caniche Toy</t>
  </si>
  <si>
    <t>Carlin</t>
  </si>
  <si>
    <t>Cane Corso</t>
  </si>
  <si>
    <t>Chien Chinois à crète</t>
  </si>
  <si>
    <t>Chien d'eau Espagnol</t>
  </si>
  <si>
    <t>Chien d'eau Italien</t>
  </si>
  <si>
    <t>Chien d’Elan Norvégien</t>
  </si>
  <si>
    <t>Chien Finnois de Laponie</t>
  </si>
  <si>
    <t>Chihuahua</t>
  </si>
  <si>
    <t>Clumber Spaniel</t>
  </si>
  <si>
    <t>Cocker Anglais</t>
  </si>
  <si>
    <t>Cocker Spaniel</t>
  </si>
  <si>
    <t>Colley</t>
  </si>
  <si>
    <t>Coton de Tuléar</t>
  </si>
  <si>
    <t>Curly-Coated Retriever</t>
  </si>
  <si>
    <t>Dalmatien</t>
  </si>
  <si>
    <t>Dandie Dinmont Terrier</t>
  </si>
  <si>
    <t>Deerhound</t>
  </si>
  <si>
    <t>Dogue Allemand</t>
  </si>
  <si>
    <t>Dogue argentin</t>
  </si>
  <si>
    <t>Dogue de bordeaux</t>
  </si>
  <si>
    <t>Dogue du tibet</t>
  </si>
  <si>
    <t>Drahthaar</t>
  </si>
  <si>
    <t>Epagneul Français</t>
  </si>
  <si>
    <t>Epagneul Japonais</t>
  </si>
  <si>
    <t>Epagneul Papillon</t>
  </si>
  <si>
    <t>Epagneul tibétain</t>
  </si>
  <si>
    <t>Eurasier</t>
  </si>
  <si>
    <t>Flat Coated Retriever</t>
  </si>
  <si>
    <t>Fox terrier</t>
  </si>
  <si>
    <t>Golden Retriever</t>
  </si>
  <si>
    <t>Grand bouvier suisse</t>
  </si>
  <si>
    <t>Greyhound</t>
  </si>
  <si>
    <t>Griffon Belge</t>
  </si>
  <si>
    <t>Griffon Bleu de Gascogne</t>
  </si>
  <si>
    <t>Griffon Fauve de Bourgogne</t>
  </si>
  <si>
    <t>Jack russel</t>
  </si>
  <si>
    <t>Kelpie Australien</t>
  </si>
  <si>
    <t>King Charles Spaniel</t>
  </si>
  <si>
    <t>Komondor</t>
  </si>
  <si>
    <t>Labrador Retriever</t>
  </si>
  <si>
    <t>Lagotto Romagnolo</t>
  </si>
  <si>
    <t>Landseer</t>
  </si>
  <si>
    <t>Levrier Ecossais</t>
  </si>
  <si>
    <t>Levrier Espagnol</t>
  </si>
  <si>
    <t>Levrier Hongrois</t>
  </si>
  <si>
    <t>Lévrier Polonais</t>
  </si>
  <si>
    <t>Manchester Terrier</t>
  </si>
  <si>
    <t>Mâtin de Naples</t>
  </si>
  <si>
    <t>Mâtin Espagnol</t>
  </si>
  <si>
    <t>Parson Russel Terrier</t>
  </si>
  <si>
    <t>Pekinois</t>
  </si>
  <si>
    <t>Petit Brabançon</t>
  </si>
  <si>
    <t>Petit Chien Lion</t>
  </si>
  <si>
    <t>Pinscher Moyen</t>
  </si>
  <si>
    <t>Pinscher Nain</t>
  </si>
  <si>
    <t>Pointer</t>
  </si>
  <si>
    <t>Porcelaine</t>
  </si>
  <si>
    <t>Ratier de Prague</t>
  </si>
  <si>
    <t>Rhodesian Ridgeback</t>
  </si>
  <si>
    <t>Saint Hubert</t>
  </si>
  <si>
    <t>Schnauzer Géant</t>
  </si>
  <si>
    <t>Schnauzer Moyen</t>
  </si>
  <si>
    <t>Schnauzer Nain</t>
  </si>
  <si>
    <t>Scottish Terrier</t>
  </si>
  <si>
    <t>Setter Gordon</t>
  </si>
  <si>
    <t>Shar Pei</t>
  </si>
  <si>
    <t>Shiba Inu</t>
  </si>
  <si>
    <t>Spitz Allemand Moyen</t>
  </si>
  <si>
    <t>Spitz Allemand Nain</t>
  </si>
  <si>
    <t>Spitz japonais</t>
  </si>
  <si>
    <t>Spitz Loup</t>
  </si>
  <si>
    <t>Springer Anglais</t>
  </si>
  <si>
    <t>Terrier Irlandais</t>
  </si>
  <si>
    <t>Vallhund Suédois</t>
  </si>
  <si>
    <t>Welsh Terrier</t>
  </si>
  <si>
    <t>West Highland White Terrier</t>
  </si>
  <si>
    <t>Whippet</t>
  </si>
  <si>
    <t>Viandes</t>
  </si>
  <si>
    <t>Kcal/100gr</t>
  </si>
  <si>
    <t>Protéines (g)</t>
  </si>
  <si>
    <t>Lipides (g)</t>
  </si>
  <si>
    <t>Glucides (g)</t>
  </si>
  <si>
    <t>Cendres (g)</t>
  </si>
  <si>
    <t>Fibres (g)</t>
  </si>
  <si>
    <t>Ca (mg)</t>
  </si>
  <si>
    <t>P (mg)</t>
  </si>
  <si>
    <t>Agneau, viande - CRUE</t>
  </si>
  <si>
    <t>Agneau, viande - CUITE</t>
  </si>
  <si>
    <t>Bœuf, faux-filet - CRU</t>
  </si>
  <si>
    <t>Bœuf, faux-filet - CUIT</t>
  </si>
  <si>
    <t>Bœuf, rumsteck - CRU</t>
  </si>
  <si>
    <t>Bœuf, rumsteck - CUIT</t>
  </si>
  <si>
    <t>Boeuf à bourguignon - CRU</t>
  </si>
  <si>
    <t>Boeuf à bourguignon - CUIT</t>
  </si>
  <si>
    <t>Bœuf steak haché 5% MG - CRU</t>
  </si>
  <si>
    <t>Bœuf steak haché 5% MG - CUIT</t>
  </si>
  <si>
    <t>Bœuf steak haché 15% MG - CRU</t>
  </si>
  <si>
    <t>Bœuf steak haché 15% MG - CUIT</t>
  </si>
  <si>
    <t>Canard, viande - CRUE</t>
  </si>
  <si>
    <t>Canard, viande - CUITE</t>
  </si>
  <si>
    <t>Cheval, faux-filet - CRU</t>
  </si>
  <si>
    <t>Cheval, faux-filet - CUIT</t>
  </si>
  <si>
    <t>Dinde, escalope - CRUE</t>
  </si>
  <si>
    <t>Dinde, escalope - CUITE</t>
  </si>
  <si>
    <t>Lapin, viande - CRUE</t>
  </si>
  <si>
    <t>Lapin, viande - CUITE</t>
  </si>
  <si>
    <t>Porc, échine - CRUE</t>
  </si>
  <si>
    <t>Porc, épaule - CRUE</t>
  </si>
  <si>
    <t>Porc, épaule - CUITE</t>
  </si>
  <si>
    <t>Porc, filet, maigre - CRU</t>
  </si>
  <si>
    <t>Porc, filet, maigre - BIEN CUIT</t>
  </si>
  <si>
    <t>Poulet, cuisse - CRUE</t>
  </si>
  <si>
    <t>Poulet, cuisse - CUITE</t>
  </si>
  <si>
    <t>Poulet, filet, sans peau - CRU</t>
  </si>
  <si>
    <t>Poulet, filet, sans peau - CUIT</t>
  </si>
  <si>
    <t>Veau, collier - CRU</t>
  </si>
  <si>
    <t>Veau, collier - CUIT</t>
  </si>
  <si>
    <t>Veau, escalope - CRUE</t>
  </si>
  <si>
    <t>Veau, escalope - CUITE</t>
  </si>
  <si>
    <t>Pavé de cabillaud - BIEN CUIT</t>
  </si>
  <si>
    <t>Pavé de colin - BIEN CUIT</t>
  </si>
  <si>
    <t>Pavé de saumon - CRU</t>
  </si>
  <si>
    <t>Pavé de saumon - BIEN CUIT</t>
  </si>
  <si>
    <t>Sardine (conserve) - DEJA CUITES</t>
  </si>
  <si>
    <t>Sardines fraîches - ENTIERES</t>
  </si>
  <si>
    <t>Sprat entier - CRU</t>
  </si>
  <si>
    <t>Oeuf, entier - BIEN CUIT</t>
  </si>
  <si>
    <t>Oeuf, blanc - BIEN CUIT</t>
  </si>
  <si>
    <t>LISTE DES VIANDES</t>
  </si>
  <si>
    <t>En "bon" français</t>
  </si>
  <si>
    <t>de viande d'agneau crue</t>
  </si>
  <si>
    <t>de viande d'agneau cuite</t>
  </si>
  <si>
    <t>de faux-filet de boeuf cru</t>
  </si>
  <si>
    <t>de faux-filet de boeuf cuit</t>
  </si>
  <si>
    <t>de rumsteck de bœuf cru</t>
  </si>
  <si>
    <t>de rumsteck de bœuf cuit</t>
  </si>
  <si>
    <t>de boeuf à bourguignon cru</t>
  </si>
  <si>
    <t>de boeuf à bourguignon cuit</t>
  </si>
  <si>
    <t>de bœuf en steak haché (5% MG) cru</t>
  </si>
  <si>
    <t>de bœuf en steak haché (5% MG) cuit</t>
  </si>
  <si>
    <t>de bœuf en steak haché (15% MG) cru</t>
  </si>
  <si>
    <t>de bœuf en steak haché (15% MG) cuit</t>
  </si>
  <si>
    <t>de viande de canard crue</t>
  </si>
  <si>
    <t>de viande de canard cuite</t>
  </si>
  <si>
    <t>de faux-filet de cheval cru</t>
  </si>
  <si>
    <t>de faux-filet de cheval cuit</t>
  </si>
  <si>
    <t>d'escalope de dinde crue</t>
  </si>
  <si>
    <t>d'escalope de dinde cuite</t>
  </si>
  <si>
    <t>de viande de lapin crue</t>
  </si>
  <si>
    <t>de viande de lapin cuite</t>
  </si>
  <si>
    <t>d'échine de porc crue</t>
  </si>
  <si>
    <t>d'épaule de porc crue</t>
  </si>
  <si>
    <t>d'épaule de porc cuite</t>
  </si>
  <si>
    <t>de filet maigre de porc cru</t>
  </si>
  <si>
    <t>de filet maigre de porc bien cuit</t>
  </si>
  <si>
    <t>de filet (sans peau) de poulet cru</t>
  </si>
  <si>
    <t>de filet (sans peau) de poulet cuit</t>
  </si>
  <si>
    <t>de collier de veau cru</t>
  </si>
  <si>
    <t>de collier de veau cuit</t>
  </si>
  <si>
    <t>d'escalope de veau crue</t>
  </si>
  <si>
    <t>d'escalope de veau cuite</t>
  </si>
  <si>
    <t>de pavé de cabillaud bien cuit</t>
  </si>
  <si>
    <t>de pavé de colin bien cuit</t>
  </si>
  <si>
    <t>de pavé de saumon cru</t>
  </si>
  <si>
    <t>de pavé de saumon cuit</t>
  </si>
  <si>
    <t>de sardines entières en conserve</t>
  </si>
  <si>
    <t>de sardines entières fraîches</t>
  </si>
  <si>
    <t>de sprats entiers et crus</t>
  </si>
  <si>
    <t>d'œufs entiers bien cuit</t>
  </si>
  <si>
    <t>de blanc d'œufs bien cuit</t>
  </si>
  <si>
    <t>Flag prix viande</t>
  </si>
  <si>
    <t>v3.0</t>
  </si>
  <si>
    <t>Flag saisie viande</t>
  </si>
  <si>
    <t>Flag saisie qtt viande</t>
  </si>
  <si>
    <t>VIANDES - DONNEES</t>
  </si>
  <si>
    <t>Position</t>
  </si>
  <si>
    <t>Patées</t>
  </si>
  <si>
    <t>Qtt</t>
  </si>
  <si>
    <t>100 grammes</t>
  </si>
  <si>
    <t>Ca (g)</t>
  </si>
  <si>
    <t>P (g)</t>
  </si>
  <si>
    <t>TOTAL</t>
  </si>
  <si>
    <t>Kcal</t>
  </si>
  <si>
    <t>% HUMIDE</t>
  </si>
  <si>
    <t>% MS</t>
  </si>
  <si>
    <t>TOTAL MACRO</t>
  </si>
  <si>
    <t>v 3.0</t>
  </si>
  <si>
    <t>EM</t>
  </si>
  <si>
    <t>TEXTE VIANDE</t>
  </si>
  <si>
    <t>Budget viandes</t>
  </si>
  <si>
    <t>Flag prix viandes</t>
  </si>
  <si>
    <r>
      <t>Prix en</t>
    </r>
    <r>
      <rPr>
        <b/>
        <sz val="12"/>
        <color indexed="8"/>
        <rFont val="Gill Sans MT"/>
        <family val="2"/>
      </rPr>
      <t xml:space="preserve"> Euro / kg </t>
    </r>
    <r>
      <rPr>
        <sz val="12"/>
        <color indexed="8"/>
        <rFont val="Gill Sans MT"/>
        <family val="2"/>
      </rPr>
      <t>de mes croquettes</t>
    </r>
  </si>
  <si>
    <r>
      <t>Prix en</t>
    </r>
    <r>
      <rPr>
        <b/>
        <sz val="12"/>
        <color indexed="8"/>
        <rFont val="Gill Sans MT"/>
        <family val="2"/>
      </rPr>
      <t xml:space="preserve"> Euro / kg </t>
    </r>
    <r>
      <rPr>
        <sz val="12"/>
        <color indexed="8"/>
        <rFont val="Gill Sans MT"/>
        <family val="2"/>
      </rPr>
      <t>de ma pâtée</t>
    </r>
  </si>
  <si>
    <r>
      <t>Prix en</t>
    </r>
    <r>
      <rPr>
        <b/>
        <sz val="12"/>
        <color indexed="8"/>
        <rFont val="Gill Sans MT"/>
        <family val="2"/>
      </rPr>
      <t xml:space="preserve"> Euro / kg </t>
    </r>
    <r>
      <rPr>
        <sz val="12"/>
        <color indexed="8"/>
        <rFont val="Gill Sans MT"/>
        <family val="2"/>
      </rPr>
      <t>de ma viande</t>
    </r>
  </si>
  <si>
    <t>de viande de cuisse de poulet crue désossée</t>
  </si>
  <si>
    <t>de viande de cuisse de poulet cuite désossée</t>
  </si>
  <si>
    <t>FLAG VERIF EM VIANDE &gt; BEE</t>
  </si>
  <si>
    <t>v3.0 $Z$85 EM VIANDE</t>
  </si>
  <si>
    <t>MESSAGE ALERTE VIANDE</t>
  </si>
  <si>
    <t>VIANDE &gt; 100% BEE</t>
  </si>
  <si>
    <t>La viande dépasse 100% des besoins énergetiques, merci de diminuer la quantité</t>
  </si>
  <si>
    <t>% EM VIANDE</t>
  </si>
  <si>
    <t>DEBUG</t>
  </si>
  <si>
    <t>CA et P</t>
  </si>
  <si>
    <t>A ZERO</t>
  </si>
  <si>
    <t>v3.03</t>
  </si>
  <si>
    <t>RPC RATION</t>
  </si>
  <si>
    <t>Shih Tzu</t>
  </si>
  <si>
    <r>
      <t xml:space="preserve">Le </t>
    </r>
    <r>
      <rPr>
        <b/>
        <sz val="10.5"/>
        <color indexed="8"/>
        <rFont val="Gill Sans MT"/>
        <family val="2"/>
      </rPr>
      <t>poids idéal</t>
    </r>
    <r>
      <rPr>
        <sz val="10.5"/>
        <color indexed="8"/>
        <rFont val="Gill Sans MT"/>
        <family val="2"/>
      </rPr>
      <t xml:space="preserve"> est le poids "de forme" de votre chien
Pour un </t>
    </r>
    <r>
      <rPr>
        <b/>
        <sz val="10.5"/>
        <color indexed="8"/>
        <rFont val="Gill Sans MT"/>
        <family val="2"/>
      </rPr>
      <t>chiot</t>
    </r>
    <r>
      <rPr>
        <sz val="10.5"/>
        <color indexed="8"/>
        <rFont val="Gill Sans MT"/>
        <family val="2"/>
      </rPr>
      <t xml:space="preserve">, ne </t>
    </r>
    <r>
      <rPr>
        <sz val="10.5"/>
        <color indexed="8"/>
        <rFont val="Gill Sans MT"/>
        <family val="2"/>
      </rPr>
      <t>pas mettre le poids adulte !</t>
    </r>
  </si>
  <si>
    <t>FLAG</t>
  </si>
  <si>
    <t>Prot/P antibug à partir de v3.7</t>
  </si>
  <si>
    <t>Lexique</t>
  </si>
  <si>
    <t>Message si NIVEAU 1</t>
  </si>
  <si>
    <t>Message si NIVEAU 2</t>
  </si>
  <si>
    <t>MESSAGE ALERTE MANQUE DE PROTEINES &amp; NUTRITIONNEL</t>
  </si>
  <si>
    <t>GESTION ALERTE</t>
  </si>
  <si>
    <t>FLAG 1 / 2 / TOTAL</t>
  </si>
  <si>
    <t>COULEUR</t>
  </si>
  <si>
    <t>SUIVANT FLAG NUTRI</t>
  </si>
  <si>
    <t>STADE</t>
  </si>
  <si>
    <t>Min</t>
  </si>
  <si>
    <t>Max</t>
  </si>
  <si>
    <r>
      <rPr>
        <b/>
        <sz val="10"/>
        <rFont val="Gill Sans MT"/>
        <family val="2"/>
      </rPr>
      <t>RPC</t>
    </r>
    <r>
      <rPr>
        <sz val="10"/>
        <rFont val="Gill Sans MT"/>
        <family val="2"/>
      </rPr>
      <t xml:space="preserve"> : rapport protido-calorique, il évalue la concentration en
protéines d'un aliment par rapport aux calories qu'il apporte</t>
    </r>
  </si>
  <si>
    <r>
      <rPr>
        <b/>
        <sz val="10"/>
        <rFont val="Gill Sans MT"/>
        <family val="2"/>
      </rPr>
      <t>RPP</t>
    </r>
    <r>
      <rPr>
        <sz val="10"/>
        <rFont val="Gill Sans MT"/>
        <family val="2"/>
      </rPr>
      <t xml:space="preserve"> : rapport protido-phosphorique, il évalue la qualité des
matières premières utilisées (rapport &gt;35 recommandé)</t>
    </r>
  </si>
  <si>
    <r>
      <rPr>
        <b/>
        <sz val="10"/>
        <rFont val="Gill Sans MT"/>
        <family val="2"/>
      </rPr>
      <t>CMV</t>
    </r>
    <r>
      <rPr>
        <sz val="10"/>
        <rFont val="Gill Sans MT"/>
        <family val="2"/>
      </rPr>
      <t xml:space="preserve"> : complexe minéralo-vitaminé utilisé comme
complément pour apporter vitamines et minéraux</t>
    </r>
  </si>
  <si>
    <t>K sanitaire</t>
  </si>
  <si>
    <t>FACTEUR OBESITE</t>
  </si>
  <si>
    <t>Choix final</t>
  </si>
  <si>
    <t>RPC TOTAL</t>
  </si>
  <si>
    <t>N'hésitez pas à donner une partie des rations 
de votre chien sous forme de pâtée 
pour rendre celles-ci plus appétantes</t>
  </si>
  <si>
    <t>RPC sur EM final</t>
  </si>
  <si>
    <t>Niveau 1</t>
  </si>
  <si>
    <t>Niveau 2</t>
  </si>
  <si>
    <t>% lipides max</t>
  </si>
  <si>
    <t>SEUILS ALERTE</t>
  </si>
  <si>
    <t>SEUILS WARNING</t>
  </si>
  <si>
    <t>g Ca / Mcal BE</t>
  </si>
  <si>
    <t>g P / Mcal BE</t>
  </si>
  <si>
    <t>Min / Mcal BE</t>
  </si>
  <si>
    <t>Max / Mcal BE</t>
  </si>
  <si>
    <t xml:space="preserve"> Choisir le type de % de répartition </t>
  </si>
  <si>
    <t>En apports</t>
  </si>
  <si>
    <r>
      <t xml:space="preserve"> % de la ration en </t>
    </r>
    <r>
      <rPr>
        <b/>
        <sz val="12"/>
        <color indexed="8"/>
        <rFont val="Gill Sans MT"/>
        <family val="2"/>
      </rPr>
      <t>CROQUETTES</t>
    </r>
  </si>
  <si>
    <r>
      <t xml:space="preserve"> % de la ration en </t>
    </r>
    <r>
      <rPr>
        <b/>
        <sz val="12"/>
        <color indexed="8"/>
        <rFont val="Gill Sans MT"/>
        <family val="2"/>
      </rPr>
      <t>PÂTEE</t>
    </r>
  </si>
  <si>
    <r>
      <t xml:space="preserve"> Vous voulez ajouter de la </t>
    </r>
    <r>
      <rPr>
        <b/>
        <sz val="12"/>
        <rFont val="Gill Sans MT"/>
        <family val="2"/>
      </rPr>
      <t>viande fraîche</t>
    </r>
    <r>
      <rPr>
        <sz val="12"/>
        <rFont val="Gill Sans MT"/>
        <family val="2"/>
      </rPr>
      <t xml:space="preserve"> ? (choisir laquelle et la quantité en grammes)</t>
    </r>
  </si>
  <si>
    <t>REPARTION</t>
  </si>
  <si>
    <t>En poids</t>
  </si>
  <si>
    <t>Scoring type répatition --&gt;</t>
  </si>
  <si>
    <t>MODE EM / POIDS</t>
  </si>
  <si>
    <t>QTT Croquettes</t>
  </si>
  <si>
    <t>QTT Patée</t>
  </si>
  <si>
    <t>RESULTAT</t>
  </si>
  <si>
    <r>
      <t xml:space="preserve"> Pour les chiens, une répartition </t>
    </r>
    <r>
      <rPr>
        <i/>
        <sz val="12"/>
        <rFont val="Gill Sans MT"/>
        <family val="2"/>
      </rPr>
      <t>en poids</t>
    </r>
    <r>
      <rPr>
        <sz val="12"/>
        <rFont val="Gill Sans MT"/>
        <family val="2"/>
      </rPr>
      <t xml:space="preserve"> est à privilégier</t>
    </r>
  </si>
  <si>
    <t>EB</t>
  </si>
  <si>
    <t>dE</t>
  </si>
  <si>
    <t>ED</t>
  </si>
  <si>
    <t>NRC2006 - CROQUETTES</t>
  </si>
  <si>
    <t>NRC2006 - PATEES</t>
  </si>
  <si>
    <t>NIV 1 BAS</t>
  </si>
  <si>
    <t>NIV 2 BAS</t>
  </si>
  <si>
    <t>Pour Charlotte           g/Mcal</t>
  </si>
  <si>
    <t>https://www.unegamelleautop.fr/</t>
  </si>
  <si>
    <t>Une gamelle au top</t>
  </si>
  <si>
    <r>
      <rPr>
        <b/>
        <sz val="12"/>
        <color indexed="8"/>
        <rFont val="Gill Sans MT"/>
        <family val="2"/>
      </rPr>
      <t>Antinéa Ecrepont</t>
    </r>
    <r>
      <rPr>
        <sz val="12"/>
        <color indexed="8"/>
        <rFont val="Gill Sans MT"/>
        <family val="2"/>
      </rPr>
      <t xml:space="preserve"> - Docteur en médecine vétérinaire</t>
    </r>
  </si>
  <si>
    <r>
      <rPr>
        <b/>
        <sz val="12"/>
        <color indexed="8"/>
        <rFont val="Gill Sans MT"/>
        <family val="2"/>
      </rPr>
      <t>Charlotte Gnaedinger</t>
    </r>
    <r>
      <rPr>
        <sz val="12"/>
        <color indexed="8"/>
        <rFont val="Gill Sans MT"/>
        <family val="2"/>
      </rPr>
      <t xml:space="preserve"> - Ingénieure Agronome spécialisée en nutrition animale</t>
    </r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</si>
  <si>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Consultant avec double cursus en biologie et informatique</t>
    </r>
  </si>
  <si>
    <t>LOCK ACTIVITE</t>
  </si>
  <si>
    <t>LOCK ACTIVITE CHIOT</t>
  </si>
  <si>
    <t>0 = pas de lock</t>
  </si>
  <si>
    <t>1 = lock activité normale</t>
  </si>
  <si>
    <t>UNE GAMELLE AU TOP</t>
  </si>
  <si>
    <t>STRICTEMENT INTERDITE</t>
  </si>
  <si>
    <t>SOUS PEINE DE POURSUITES</t>
  </si>
  <si>
    <t>Rouge de Bavière</t>
  </si>
  <si>
    <t>Wäller</t>
  </si>
  <si>
    <t>Silken Windhound</t>
  </si>
  <si>
    <t>POIDS</t>
  </si>
  <si>
    <t>RACE</t>
  </si>
  <si>
    <t>STADE DE VIE</t>
  </si>
  <si>
    <t>ACTIVITE</t>
  </si>
  <si>
    <t>STERILISATION</t>
  </si>
  <si>
    <t>ETAT CORPOREL</t>
  </si>
  <si>
    <t>LIEU DE VIE</t>
  </si>
  <si>
    <t>APPETIT</t>
  </si>
  <si>
    <r>
      <t xml:space="preserve">Pas de panique ! 
Toutes les données demandées concernent </t>
    </r>
    <r>
      <rPr>
        <b/>
        <sz val="11"/>
        <color indexed="8"/>
        <rFont val="Gill Sans MT"/>
        <family val="2"/>
      </rPr>
      <t>VOTRE CHIEN</t>
    </r>
    <r>
      <rPr>
        <sz val="11"/>
        <color indexed="8"/>
        <rFont val="Gill Sans MT"/>
        <family val="2"/>
      </rPr>
      <t xml:space="preserve"> que vous connaissez bien et </t>
    </r>
    <r>
      <rPr>
        <b/>
        <sz val="11"/>
        <color indexed="8"/>
        <rFont val="Gill Sans MT"/>
        <family val="2"/>
      </rPr>
      <t>les informations chiffrées situées derrière les emballages</t>
    </r>
  </si>
  <si>
    <t>Les concepteurs</t>
  </si>
  <si>
    <t>Cet outil a été imaginé et conçu initialement par :</t>
  </si>
  <si>
    <t>Responsable de la maintenance, des évolutions et de l'hébergement :</t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</si>
  <si>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damien@unegamelleautop.fr</t>
    </r>
  </si>
  <si>
    <t>www.unegamelleautop.fr</t>
  </si>
  <si>
    <t>VIANDE &gt; 10% BE</t>
  </si>
  <si>
    <t>La viande dépasse 10% des besoins énergetiques, sans CMV il y a risque de déséquilibre nutritionnel</t>
  </si>
  <si>
    <t>FLAG VERIF EM MAX VIANDE 10%</t>
  </si>
  <si>
    <t>10% EM MAX AJOUT VIANDE</t>
  </si>
  <si>
    <t xml:space="preserve">Chiot (&lt; 10kg adulte) 3 à 4 mois </t>
  </si>
  <si>
    <t xml:space="preserve">Chiot (&lt; 10kg adulte) 5 à 7 mois </t>
  </si>
  <si>
    <t xml:space="preserve">Chiot (&lt; 10kg adulte) 8 à 10 mois </t>
  </si>
  <si>
    <t xml:space="preserve">Chiot (10-20kg adulte) 3 à 5 mois </t>
  </si>
  <si>
    <t>Chiot (10-20kg adulte) 6 à 9 mois</t>
  </si>
  <si>
    <t>Chiot (10-20kg adulte) 10 à 12 mois</t>
  </si>
  <si>
    <t xml:space="preserve">Chiot (20-35kg adulte) 3 à 6 mois </t>
  </si>
  <si>
    <t xml:space="preserve">Chiot (20-35kg adulte) 7 à 8 mois </t>
  </si>
  <si>
    <t xml:space="preserve">Chiot (35-50kg adulte) 6 à 7 mois </t>
  </si>
  <si>
    <t xml:space="preserve">Chiot (35-50kg adulte) 8 à 13 mois </t>
  </si>
  <si>
    <t xml:space="preserve">Chiot (&gt; 50kg adulte) 7 à 8 mois </t>
  </si>
  <si>
    <t xml:space="preserve">Chiot (&gt; 50kg adulte) 9 à 13 mois </t>
  </si>
  <si>
    <t>Senior (8 ans et plus)</t>
  </si>
  <si>
    <t>Berger Américain</t>
  </si>
  <si>
    <t>Kai</t>
  </si>
  <si>
    <t>Vous pouvez ajouter jusqu'à 100 g de courgettes - OU - 60 g de haricots verts bien cuits par 10kg de poids pour l'aider à se sentir repus</t>
  </si>
  <si>
    <r>
      <t>Calculateur de ration croquettes et pâtée pour Chien</t>
    </r>
    <r>
      <rPr>
        <i/>
        <sz val="9"/>
        <color indexed="9"/>
        <rFont val="Gill Sans MT"/>
        <family val="2"/>
      </rPr>
      <t xml:space="preserve">
</t>
    </r>
    <r>
      <rPr>
        <sz val="9"/>
        <color indexed="9"/>
        <rFont val="Gill Sans MT"/>
        <family val="2"/>
      </rPr>
      <t>Version 7.00 13/05/2024</t>
    </r>
  </si>
  <si>
    <r>
      <t xml:space="preserve">Poids métabolique  |  </t>
    </r>
    <r>
      <rPr>
        <sz val="11"/>
        <color indexed="9"/>
        <rFont val="Calibri"/>
        <family val="2"/>
      </rPr>
      <t>BE "brut"</t>
    </r>
  </si>
  <si>
    <r>
      <t xml:space="preserve">BEE   | </t>
    </r>
    <r>
      <rPr>
        <sz val="11"/>
        <color indexed="9"/>
        <rFont val="Calibri"/>
        <family val="2"/>
      </rPr>
      <t xml:space="preserve"> BE (minimum 50% du BEE)</t>
    </r>
  </si>
  <si>
    <r>
      <t xml:space="preserve">RPC minimum calculé  | </t>
    </r>
    <r>
      <rPr>
        <sz val="11"/>
        <color indexed="9"/>
        <rFont val="Calibri"/>
        <family val="2"/>
      </rPr>
      <t xml:space="preserve"> Facteur K</t>
    </r>
  </si>
  <si>
    <r>
      <t xml:space="preserve">RPC optimisé par Charlotte | </t>
    </r>
    <r>
      <rPr>
        <sz val="11"/>
        <color indexed="9"/>
        <rFont val="Calibri"/>
        <family val="2"/>
      </rPr>
      <t>Humidité</t>
    </r>
  </si>
  <si>
    <r>
      <t xml:space="preserve">Qtt Protéines (g/j) optimisé par Charlotte | </t>
    </r>
    <r>
      <rPr>
        <sz val="11"/>
        <color indexed="9"/>
        <rFont val="Calibri"/>
        <family val="2"/>
      </rPr>
      <t>Ca/P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</si>
</sst>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"/>
  </numFmts>
  <fonts count="79">
    <font>
      <sz val="11"/>
      <color theme="1"/>
      <name val="Calibri"/>
      <family val="2"/>
      <scheme val="minor"/>
    </font>
    <font>
      <sz val="12"/>
      <name val="Gill Sans MT"/>
      <family val="2"/>
    </font>
    <font>
      <sz val="8"/>
      <name val="Gill Sans MT"/>
      <family val="2"/>
    </font>
    <font>
      <sz val="13"/>
      <name val="Gill Sans MT"/>
      <family val="2"/>
    </font>
    <font>
      <b/>
      <sz val="12"/>
      <name val="Gill Sans MT"/>
      <family val="2"/>
    </font>
    <font>
      <b/>
      <sz val="14"/>
      <name val="Gill Sans MT"/>
      <family val="2"/>
    </font>
    <font>
      <sz val="11"/>
      <name val="Gill Sans MT"/>
      <family val="2"/>
    </font>
    <font>
      <sz val="11"/>
      <color indexed="8"/>
      <name val="Gill Sans MT"/>
      <family val="2"/>
    </font>
    <font>
      <b/>
      <sz val="11"/>
      <color indexed="8"/>
      <name val="Gill Sans MT"/>
      <family val="2"/>
    </font>
    <font>
      <b/>
      <sz val="13"/>
      <name val="Gill Sans MT"/>
      <family val="2"/>
    </font>
    <font>
      <b/>
      <sz val="20"/>
      <name val="Gill Sans MT"/>
      <family val="2"/>
    </font>
    <font>
      <sz val="20"/>
      <name val="Gill Sans MT"/>
      <family val="2"/>
    </font>
    <font>
      <b/>
      <sz val="11"/>
      <name val="Gill Sans MT"/>
      <family val="2"/>
    </font>
    <font>
      <sz val="12"/>
      <color indexed="50"/>
      <name val="Gill Sans MT"/>
      <family val="2"/>
    </font>
    <font>
      <sz val="12"/>
      <color indexed="19"/>
      <name val="Gill Sans MT"/>
      <family val="2"/>
    </font>
    <font>
      <sz val="12"/>
      <color indexed="53"/>
      <name val="Gill Sans MT"/>
      <family val="2"/>
    </font>
    <font>
      <sz val="12"/>
      <color indexed="60"/>
      <name val="Gill Sans MT"/>
      <family val="2"/>
    </font>
    <font>
      <b/>
      <sz val="10.5"/>
      <color indexed="8"/>
      <name val="Gill Sans MT"/>
      <family val="2"/>
    </font>
    <font>
      <sz val="10.5"/>
      <color indexed="8"/>
      <name val="Gill Sans MT"/>
      <family val="2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2"/>
      <color indexed="8"/>
      <name val="Gill Sans MT"/>
      <family val="2"/>
    </font>
    <font>
      <i/>
      <sz val="12"/>
      <name val="Gill Sans MT"/>
      <family val="2"/>
    </font>
    <font>
      <sz val="24"/>
      <color indexed="9"/>
      <name val="Gill Sans MT"/>
      <family val="2"/>
    </font>
    <font>
      <i/>
      <sz val="9"/>
      <color indexed="9"/>
      <name val="Gill Sans MT"/>
      <family val="2"/>
    </font>
    <font>
      <sz val="9"/>
      <color indexed="9"/>
      <name val="Gill Sans MT"/>
      <family val="2"/>
    </font>
    <font>
      <sz val="20"/>
      <color indexed="9"/>
      <name val="Gill Sans MT"/>
      <family val="2"/>
    </font>
    <font>
      <sz val="8"/>
      <color indexed="9"/>
      <name val="Gill Sans MT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Gill Sans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sz val="12"/>
      <color theme="0"/>
      <name val="Gill Sans MT"/>
      <family val="2"/>
    </font>
    <font>
      <b/>
      <sz val="11"/>
      <color theme="1"/>
      <name val="Gill Sans MT"/>
      <family val="2"/>
    </font>
    <font>
      <sz val="12"/>
      <color theme="1"/>
      <name val="Gill Sans MT"/>
      <family val="2"/>
    </font>
    <font>
      <sz val="8"/>
      <color theme="1" tint="0.249977111117893"/>
      <name val="Gill Sans MT"/>
      <family val="2"/>
    </font>
    <font>
      <b/>
      <sz val="18"/>
      <color theme="0"/>
      <name val="Gill Sans MT"/>
      <family val="2"/>
    </font>
    <font>
      <sz val="14"/>
      <color theme="1"/>
      <name val="Gill Sans MT"/>
      <family val="2"/>
    </font>
    <font>
      <b/>
      <sz val="12"/>
      <color theme="0"/>
      <name val="Gill Sans MT"/>
      <family val="2"/>
    </font>
    <font>
      <b/>
      <sz val="11"/>
      <color theme="7" tint="-0.249977111117893"/>
      <name val="Gill Sans MT"/>
      <family val="2"/>
    </font>
    <font>
      <b/>
      <sz val="12"/>
      <color rgb="FFFF0000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Calibri"/>
      <family val="2"/>
      <scheme val="minor"/>
    </font>
    <font>
      <sz val="14"/>
      <color theme="0"/>
      <name val="Gill Sans MT"/>
      <family val="2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0.499984740745262"/>
      <name val="Gill Sans MT"/>
      <family val="2"/>
    </font>
    <font>
      <sz val="12"/>
      <color theme="2" tint="-0.499984740745262"/>
      <name val="Gill Sans MT"/>
      <family val="2"/>
    </font>
    <font>
      <b/>
      <sz val="12"/>
      <color theme="2" tint="-0.499984740745262"/>
      <name val="Gill Sans MT"/>
      <family val="2"/>
    </font>
    <font>
      <sz val="1"/>
      <color theme="2" tint="-0.499984740745262"/>
      <name val="Gill Sans MT"/>
      <family val="2"/>
    </font>
    <font>
      <b/>
      <sz val="13"/>
      <color theme="2" tint="-0.499984740745262"/>
      <name val="Gill Sans MT"/>
      <family val="2"/>
    </font>
    <font>
      <sz val="14"/>
      <color theme="2" tint="-0.499984740745262"/>
      <name val="Gill Sans MT"/>
      <family val="2"/>
    </font>
    <font>
      <sz val="11"/>
      <color theme="1" tint="0.34998626667073579"/>
      <name val="Gill Sans MT"/>
      <family val="2"/>
    </font>
    <font>
      <sz val="12"/>
      <color theme="1" tint="0.34998626667073579"/>
      <name val="Gill Sans MT"/>
      <family val="2"/>
    </font>
    <font>
      <sz val="20"/>
      <color theme="1"/>
      <name val="Calibri"/>
      <family val="2"/>
      <scheme val="minor"/>
    </font>
    <font>
      <sz val="11"/>
      <color theme="0"/>
      <name val="Gill Sans MT"/>
      <family val="2"/>
    </font>
    <font>
      <b/>
      <sz val="15"/>
      <color theme="0"/>
      <name val="Calibri"/>
      <family val="2"/>
      <scheme val="minor"/>
    </font>
    <font>
      <b/>
      <sz val="15"/>
      <color theme="0"/>
      <name val="Gill Sans MT"/>
      <family val="2"/>
    </font>
    <font>
      <u/>
      <sz val="15"/>
      <color theme="0"/>
      <name val="Calibri"/>
      <family val="2"/>
      <scheme val="minor"/>
    </font>
    <font>
      <sz val="10.5"/>
      <color theme="1"/>
      <name val="Gill Sans MT"/>
      <family val="2"/>
    </font>
    <font>
      <sz val="10.5"/>
      <color theme="1"/>
      <name val="Calibri"/>
      <family val="2"/>
      <scheme val="minor"/>
    </font>
    <font>
      <sz val="10.5"/>
      <color theme="0"/>
      <name val="Gill Sans MT"/>
      <family val="2"/>
    </font>
    <font>
      <sz val="10"/>
      <name val="Calibri"/>
      <family val="2"/>
      <scheme val="minor"/>
    </font>
    <font>
      <b/>
      <sz val="14"/>
      <color rgb="FFFF0000"/>
      <name val="Gill Sans MT"/>
      <family val="2"/>
    </font>
    <font>
      <sz val="14"/>
      <color rgb="FFFF0000"/>
      <name val="Calibri"/>
      <family val="2"/>
      <scheme val="minor"/>
    </font>
    <font>
      <b/>
      <sz val="12"/>
      <color theme="4" tint="-0.249977111117893"/>
      <name val="Gill Sans M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4.9989318521683403E-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4.9989318521683403E-2"/>
      </left>
      <right/>
      <top style="hair">
        <color indexed="64"/>
      </top>
      <bottom/>
      <diagonal/>
    </border>
    <border>
      <left/>
      <right style="thin">
        <color theme="0" tint="-4.9989318521683403E-2"/>
      </right>
      <top style="hair">
        <color indexed="64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dotted">
        <color theme="0" tint="-0.499984740745262"/>
      </bottom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8764000366222"/>
      </right>
      <top style="thin">
        <color theme="0" tint="-0.149906918546098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76400036622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458815271462"/>
      </bottom>
      <diagonal/>
    </border>
    <border>
      <left/>
      <right style="thin">
        <color theme="0" tint="-0.1498764000366222"/>
      </right>
      <top/>
      <bottom style="thin">
        <color theme="0" tint="-0.1498458815271462"/>
      </bottom>
      <diagonal/>
    </border>
    <border>
      <left/>
      <right/>
      <top style="thin">
        <color theme="0" tint="-0.1498458815271462"/>
      </top>
      <bottom/>
      <diagonal/>
    </border>
    <border>
      <left style="dotted">
        <color theme="0" tint="-0.49998474074526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theme="0" tint="-4.9989318521683403E-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dotted">
        <color theme="0" tint="-0.49998474074526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4.9989318521683403E-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4.9989318521683403E-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1498764000366222"/>
      </left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/>
    <xf numFmtId="0" fontId="34" fillId="0" borderId="0"/>
  </cellStyleXfs>
  <cellXfs count="338">
    <xf numFmtId="0" fontId="0" fillId="0" borderId="0" xfId="0"/>
    <xf numFmtId="0" fontId="0" fillId="2" borderId="0" xfId="0" applyFill="1"/>
    <xf numFmtId="0" fontId="37" fillId="2" borderId="0" xfId="0" applyFont="1" applyFill="1"/>
    <xf numFmtId="0" fontId="1" fillId="2" borderId="0" xfId="0" applyFont="1" applyFill="1"/>
    <xf numFmtId="0" fontId="38" fillId="2" borderId="0" xfId="0" applyFont="1" applyFill="1" applyAlignment="1">
      <alignment horizontal="right" vertical="center"/>
    </xf>
    <xf numFmtId="0" fontId="1" fillId="2" borderId="0" xfId="0" applyFont="1" applyFill="1"/>
    <xf numFmtId="0" fontId="6" fillId="2" borderId="0" xfId="0" applyFont="1" applyFill="1"/>
    <xf numFmtId="0" fontId="37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6" fillId="2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40" fillId="4" borderId="12" xfId="0" applyFont="1" applyFill="1" applyBorder="1" applyAlignment="1" applyProtection="1">
      <alignment horizontal="center" vertical="center"/>
      <protection locked="0"/>
    </xf>
    <xf numFmtId="0" fontId="40" fillId="4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0" fillId="2" borderId="0" xfId="0" applyFill="1"/>
    <xf numFmtId="0" fontId="40" fillId="2" borderId="17" xfId="0" applyFont="1" applyFill="1" applyBorder="1" applyAlignment="1">
      <alignment horizontal="left" vertical="center"/>
    </xf>
    <xf numFmtId="0" fontId="37" fillId="2" borderId="0" xfId="0" applyFont="1" applyFill="1"/>
    <xf numFmtId="0" fontId="42" fillId="5" borderId="0" xfId="0" applyFont="1" applyFill="1"/>
    <xf numFmtId="0" fontId="37" fillId="5" borderId="0" xfId="0" applyFont="1" applyFill="1"/>
    <xf numFmtId="0" fontId="40" fillId="5" borderId="0" xfId="0" applyFont="1" applyFill="1"/>
    <xf numFmtId="0" fontId="43" fillId="5" borderId="0" xfId="0" applyFont="1" applyFill="1"/>
    <xf numFmtId="0" fontId="6" fillId="5" borderId="0" xfId="0" applyFont="1" applyFill="1"/>
    <xf numFmtId="0" fontId="1" fillId="5" borderId="0" xfId="0" applyFont="1" applyFill="1"/>
    <xf numFmtId="0" fontId="38" fillId="5" borderId="0" xfId="0" applyFont="1" applyFill="1"/>
    <xf numFmtId="0" fontId="38" fillId="5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right" vertical="center"/>
    </xf>
    <xf numFmtId="0" fontId="40" fillId="2" borderId="0" xfId="0" applyFont="1" applyFill="1" applyBorder="1" applyAlignment="1">
      <alignment horizontal="center" vertical="center"/>
    </xf>
    <xf numFmtId="0" fontId="43" fillId="5" borderId="0" xfId="0" applyFont="1" applyFill="1" applyBorder="1"/>
    <xf numFmtId="0" fontId="37" fillId="5" borderId="0" xfId="0" applyFont="1" applyFill="1" applyBorder="1"/>
    <xf numFmtId="0" fontId="40" fillId="5" borderId="0" xfId="0" applyFont="1" applyFill="1" applyBorder="1"/>
    <xf numFmtId="0" fontId="40" fillId="5" borderId="0" xfId="0" applyFont="1" applyFill="1" applyBorder="1" applyAlignment="1">
      <alignment vertical="center"/>
    </xf>
    <xf numFmtId="0" fontId="40" fillId="2" borderId="0" xfId="0" applyFont="1" applyFill="1" applyBorder="1"/>
    <xf numFmtId="0" fontId="40" fillId="2" borderId="0" xfId="0" applyFont="1" applyFill="1" applyBorder="1" applyAlignment="1">
      <alignment vertical="center"/>
    </xf>
    <xf numFmtId="0" fontId="40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top"/>
    </xf>
    <xf numFmtId="0" fontId="43" fillId="5" borderId="0" xfId="0" applyFont="1" applyFill="1" applyAlignment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/>
    </xf>
    <xf numFmtId="0" fontId="37" fillId="2" borderId="18" xfId="0" applyFont="1" applyFill="1" applyBorder="1"/>
    <xf numFmtId="0" fontId="40" fillId="2" borderId="18" xfId="0" applyFont="1" applyFill="1" applyBorder="1" applyAlignment="1">
      <alignment horizontal="right" vertical="center"/>
    </xf>
    <xf numFmtId="0" fontId="0" fillId="2" borderId="19" xfId="0" applyFill="1" applyBorder="1" applyAlignment="1">
      <alignment horizontal="left" vertical="center" wrapText="1"/>
    </xf>
    <xf numFmtId="0" fontId="40" fillId="2" borderId="18" xfId="0" applyFont="1" applyFill="1" applyBorder="1" applyAlignment="1">
      <alignment horizontal="right" vertical="center" indent="1"/>
    </xf>
    <xf numFmtId="0" fontId="40" fillId="2" borderId="19" xfId="0" applyFont="1" applyFill="1" applyBorder="1" applyAlignment="1">
      <alignment horizontal="left" vertical="center" indent="1"/>
    </xf>
    <xf numFmtId="2" fontId="1" fillId="2" borderId="18" xfId="0" applyNumberFormat="1" applyFont="1" applyFill="1" applyBorder="1" applyAlignment="1">
      <alignment horizontal="right" vertical="center" indent="1"/>
    </xf>
    <xf numFmtId="2" fontId="49" fillId="2" borderId="18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1" fillId="2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 vertical="center"/>
    </xf>
    <xf numFmtId="0" fontId="40" fillId="4" borderId="20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50" fillId="2" borderId="19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vertical="center"/>
    </xf>
    <xf numFmtId="0" fontId="45" fillId="2" borderId="19" xfId="0" applyFont="1" applyFill="1" applyBorder="1" applyAlignment="1">
      <alignment horizontal="left" vertical="center"/>
    </xf>
    <xf numFmtId="0" fontId="47" fillId="2" borderId="19" xfId="0" applyFont="1" applyFill="1" applyBorder="1" applyAlignment="1">
      <alignment vertical="center"/>
    </xf>
    <xf numFmtId="0" fontId="37" fillId="2" borderId="26" xfId="0" applyFont="1" applyFill="1" applyBorder="1"/>
    <xf numFmtId="0" fontId="40" fillId="2" borderId="27" xfId="0" applyFont="1" applyFill="1" applyBorder="1"/>
    <xf numFmtId="0" fontId="40" fillId="2" borderId="27" xfId="0" applyFont="1" applyFill="1" applyBorder="1" applyAlignment="1">
      <alignment vertical="center"/>
    </xf>
    <xf numFmtId="0" fontId="40" fillId="2" borderId="28" xfId="0" applyFont="1" applyFill="1" applyBorder="1" applyAlignment="1">
      <alignment vertical="center"/>
    </xf>
    <xf numFmtId="0" fontId="51" fillId="5" borderId="0" xfId="0" applyFont="1" applyFill="1"/>
    <xf numFmtId="0" fontId="52" fillId="5" borderId="0" xfId="0" applyFont="1" applyFill="1"/>
    <xf numFmtId="0" fontId="53" fillId="5" borderId="0" xfId="0" applyFont="1" applyFill="1"/>
    <xf numFmtId="0" fontId="53" fillId="5" borderId="0" xfId="0" applyFont="1" applyFill="1" applyAlignment="1">
      <alignment horizontal="left" vertical="center"/>
    </xf>
    <xf numFmtId="0" fontId="54" fillId="5" borderId="0" xfId="0" applyFont="1" applyFill="1" applyAlignment="1">
      <alignment horizontal="right" vertical="center"/>
    </xf>
    <xf numFmtId="0" fontId="52" fillId="2" borderId="0" xfId="0" applyFont="1" applyFill="1"/>
    <xf numFmtId="2" fontId="53" fillId="5" borderId="0" xfId="0" applyNumberFormat="1" applyFont="1" applyFill="1"/>
    <xf numFmtId="0" fontId="53" fillId="5" borderId="0" xfId="0" applyFont="1" applyFill="1" applyAlignment="1">
      <alignment horizontal="center"/>
    </xf>
    <xf numFmtId="2" fontId="55" fillId="5" borderId="0" xfId="0" applyNumberFormat="1" applyFont="1" applyFill="1"/>
    <xf numFmtId="0" fontId="55" fillId="5" borderId="0" xfId="0" applyFont="1" applyFill="1" applyAlignment="1">
      <alignment horizontal="left" vertical="center"/>
    </xf>
    <xf numFmtId="0" fontId="55" fillId="5" borderId="0" xfId="0" applyFont="1" applyFill="1"/>
    <xf numFmtId="0" fontId="52" fillId="5" borderId="0" xfId="0" applyFont="1" applyFill="1" applyBorder="1"/>
    <xf numFmtId="0" fontId="56" fillId="5" borderId="0" xfId="0" applyFont="1" applyFill="1" applyAlignment="1">
      <alignment horizontal="center" vertical="center"/>
    </xf>
    <xf numFmtId="0" fontId="57" fillId="5" borderId="0" xfId="0" applyFont="1" applyFill="1"/>
    <xf numFmtId="0" fontId="57" fillId="5" borderId="0" xfId="0" applyFont="1" applyFill="1" applyBorder="1"/>
    <xf numFmtId="0" fontId="40" fillId="2" borderId="27" xfId="0" applyFont="1" applyFill="1" applyBorder="1" applyAlignment="1">
      <alignment horizontal="center" vertical="center"/>
    </xf>
    <xf numFmtId="0" fontId="47" fillId="2" borderId="27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left" vertical="center"/>
    </xf>
    <xf numFmtId="0" fontId="58" fillId="2" borderId="18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8" fillId="2" borderId="19" xfId="0" applyFont="1" applyFill="1" applyBorder="1" applyAlignment="1">
      <alignment horizontal="center" vertical="center"/>
    </xf>
    <xf numFmtId="0" fontId="58" fillId="2" borderId="26" xfId="0" applyFont="1" applyFill="1" applyBorder="1" applyAlignment="1">
      <alignment horizontal="center" vertical="center"/>
    </xf>
    <xf numFmtId="0" fontId="58" fillId="2" borderId="27" xfId="0" applyFont="1" applyFill="1" applyBorder="1" applyAlignment="1">
      <alignment horizontal="center" vertical="center"/>
    </xf>
    <xf numFmtId="0" fontId="58" fillId="2" borderId="28" xfId="0" applyFont="1" applyFill="1" applyBorder="1" applyAlignment="1">
      <alignment horizontal="center" vertical="center"/>
    </xf>
    <xf numFmtId="0" fontId="59" fillId="2" borderId="16" xfId="0" applyFont="1" applyFill="1" applyBorder="1" applyAlignment="1">
      <alignment horizontal="center" vertical="center"/>
    </xf>
    <xf numFmtId="0" fontId="59" fillId="2" borderId="16" xfId="0" applyFont="1" applyFill="1" applyBorder="1" applyAlignment="1" applyProtection="1">
      <alignment horizontal="center" vertical="center"/>
    </xf>
    <xf numFmtId="0" fontId="59" fillId="2" borderId="19" xfId="0" applyFont="1" applyFill="1" applyBorder="1" applyAlignment="1">
      <alignment horizontal="center" vertical="center"/>
    </xf>
    <xf numFmtId="0" fontId="59" fillId="2" borderId="29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vertical="center"/>
    </xf>
    <xf numFmtId="0" fontId="60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32" xfId="0" applyFont="1" applyFill="1" applyBorder="1" applyAlignment="1">
      <alignment vertical="center"/>
    </xf>
    <xf numFmtId="0" fontId="39" fillId="2" borderId="33" xfId="0" applyFont="1" applyFill="1" applyBorder="1"/>
    <xf numFmtId="0" fontId="40" fillId="2" borderId="0" xfId="0" applyFont="1" applyFill="1" applyAlignment="1">
      <alignment vertical="center"/>
    </xf>
    <xf numFmtId="0" fontId="40" fillId="2" borderId="0" xfId="0" applyFont="1" applyFill="1"/>
    <xf numFmtId="0" fontId="33" fillId="2" borderId="0" xfId="1" applyFill="1" applyBorder="1" applyProtection="1"/>
    <xf numFmtId="0" fontId="40" fillId="2" borderId="32" xfId="0" applyFont="1" applyFill="1" applyBorder="1"/>
    <xf numFmtId="0" fontId="40" fillId="2" borderId="0" xfId="0" applyFont="1" applyFill="1" applyAlignment="1">
      <alignment horizontal="left" vertical="center"/>
    </xf>
    <xf numFmtId="0" fontId="37" fillId="2" borderId="32" xfId="0" applyFont="1" applyFill="1" applyBorder="1"/>
    <xf numFmtId="0" fontId="39" fillId="2" borderId="34" xfId="0" applyFont="1" applyFill="1" applyBorder="1"/>
    <xf numFmtId="0" fontId="37" fillId="2" borderId="35" xfId="0" applyFont="1" applyFill="1" applyBorder="1"/>
    <xf numFmtId="0" fontId="40" fillId="2" borderId="35" xfId="0" applyFont="1" applyFill="1" applyBorder="1"/>
    <xf numFmtId="0" fontId="52" fillId="2" borderId="36" xfId="0" applyFont="1" applyFill="1" applyBorder="1" applyAlignment="1">
      <alignment horizontal="right"/>
    </xf>
    <xf numFmtId="0" fontId="28" fillId="5" borderId="37" xfId="0" applyFont="1" applyFill="1" applyBorder="1" applyAlignment="1">
      <alignment horizontal="center" vertical="center" wrapText="1"/>
    </xf>
    <xf numFmtId="0" fontId="29" fillId="5" borderId="37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vertical="center"/>
    </xf>
    <xf numFmtId="0" fontId="48" fillId="2" borderId="0" xfId="0" applyFont="1" applyFill="1" applyAlignment="1">
      <alignment horizontal="left" vertical="center" indent="3"/>
    </xf>
    <xf numFmtId="0" fontId="40" fillId="2" borderId="0" xfId="0" applyFont="1" applyFill="1" applyAlignment="1">
      <alignment horizontal="left" vertical="center" indent="3"/>
    </xf>
    <xf numFmtId="0" fontId="40" fillId="2" borderId="0" xfId="0" applyFont="1" applyFill="1" applyAlignment="1">
      <alignment horizontal="left" indent="3"/>
    </xf>
    <xf numFmtId="0" fontId="61" fillId="5" borderId="0" xfId="0" applyFont="1" applyFill="1"/>
    <xf numFmtId="0" fontId="62" fillId="6" borderId="2" xfId="0" applyFont="1" applyFill="1" applyBorder="1"/>
    <xf numFmtId="0" fontId="62" fillId="6" borderId="3" xfId="0" applyFont="1" applyFill="1" applyBorder="1"/>
    <xf numFmtId="0" fontId="62" fillId="6" borderId="4" xfId="0" applyFont="1" applyFill="1" applyBorder="1"/>
    <xf numFmtId="0" fontId="62" fillId="6" borderId="5" xfId="0" applyFont="1" applyFill="1" applyBorder="1"/>
    <xf numFmtId="0" fontId="62" fillId="6" borderId="0" xfId="0" applyFont="1" applyFill="1"/>
    <xf numFmtId="0" fontId="62" fillId="6" borderId="6" xfId="0" applyFont="1" applyFill="1" applyBorder="1"/>
    <xf numFmtId="0" fontId="62" fillId="6" borderId="0" xfId="0" applyFont="1" applyFill="1" applyAlignment="1">
      <alignment horizontal="center" vertical="center"/>
    </xf>
    <xf numFmtId="0" fontId="63" fillId="6" borderId="5" xfId="0" applyFont="1" applyFill="1" applyBorder="1"/>
    <xf numFmtId="0" fontId="64" fillId="6" borderId="0" xfId="1" applyFont="1" applyFill="1" applyBorder="1" applyAlignment="1">
      <alignment horizontal="center" vertical="center"/>
    </xf>
    <xf numFmtId="0" fontId="62" fillId="6" borderId="7" xfId="0" applyFont="1" applyFill="1" applyBorder="1"/>
    <xf numFmtId="0" fontId="62" fillId="6" borderId="8" xfId="0" applyFont="1" applyFill="1" applyBorder="1"/>
    <xf numFmtId="0" fontId="62" fillId="6" borderId="9" xfId="0" applyFont="1" applyFill="1" applyBorder="1"/>
    <xf numFmtId="0" fontId="19" fillId="2" borderId="0" xfId="0" applyFont="1" applyFill="1" applyAlignment="1">
      <alignment horizontal="left" vertical="center" indent="3"/>
    </xf>
    <xf numFmtId="0" fontId="31" fillId="2" borderId="0" xfId="0" applyFont="1" applyFill="1" applyBorder="1" applyAlignment="1">
      <alignment horizontal="center" vertical="center"/>
    </xf>
    <xf numFmtId="0" fontId="73" fillId="2" borderId="0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left" vertical="center"/>
    </xf>
    <xf numFmtId="0" fontId="44" fillId="2" borderId="0" xfId="0" applyFont="1" applyFill="1" applyBorder="1" applyAlignment="1">
      <alignment horizontal="right" vertical="center"/>
    </xf>
    <xf numFmtId="0" fontId="3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178" fontId="31" fillId="2" borderId="0" xfId="0" applyNumberFormat="1" applyFont="1" applyFill="1" applyBorder="1" applyAlignment="1">
      <alignment horizontal="center" vertical="center"/>
    </xf>
    <xf numFmtId="0" fontId="61" fillId="2" borderId="0" xfId="0" applyFont="1" applyFill="1" applyBorder="1"/>
    <xf numFmtId="0" fontId="31" fillId="2" borderId="0" xfId="0" applyFont="1" applyFill="1" applyBorder="1"/>
    <xf numFmtId="0" fontId="31" fillId="2" borderId="0" xfId="0" applyFont="1" applyFill="1" applyBorder="1" applyAlignment="1">
      <alignment horizontal="left"/>
    </xf>
    <xf numFmtId="0" fontId="36" fillId="2" borderId="0" xfId="0" applyFont="1" applyFill="1" applyBorder="1"/>
    <xf numFmtId="0" fontId="31" fillId="2" borderId="0" xfId="0" applyFont="1" applyFill="1" applyBorder="1"/>
    <xf numFmtId="0" fontId="31" fillId="2" borderId="0" xfId="0" applyFont="1" applyFill="1" applyBorder="1" applyAlignment="1">
      <alignment horizontal="left" vertical="center"/>
    </xf>
    <xf numFmtId="0" fontId="75" fillId="2" borderId="0" xfId="0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72" fillId="2" borderId="0" xfId="0" applyFont="1" applyFill="1" applyBorder="1" applyAlignment="1">
      <alignment horizontal="center" vertical="center"/>
    </xf>
    <xf numFmtId="0" fontId="74" fillId="2" borderId="0" xfId="0" applyFont="1" applyFill="1" applyBorder="1"/>
    <xf numFmtId="2" fontId="74" fillId="2" borderId="0" xfId="0" applyNumberFormat="1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77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0" fontId="77" fillId="2" borderId="0" xfId="0" applyFont="1" applyFill="1" applyBorder="1"/>
    <xf numFmtId="0" fontId="31" fillId="2" borderId="0" xfId="0" applyFont="1" applyFill="1" applyBorder="1" applyAlignment="1">
      <alignment horizontal="left" vertical="center"/>
    </xf>
    <xf numFmtId="0" fontId="77" fillId="2" borderId="0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left" vertical="center"/>
    </xf>
    <xf numFmtId="0" fontId="76" fillId="2" borderId="0" xfId="0" applyFont="1" applyFill="1" applyBorder="1" applyAlignment="1">
      <alignment horizontal="left" vertical="center"/>
    </xf>
    <xf numFmtId="2" fontId="31" fillId="2" borderId="0" xfId="0" applyNumberFormat="1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right" vertical="center"/>
    </xf>
    <xf numFmtId="1" fontId="31" fillId="2" borderId="0" xfId="0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/>
    </xf>
    <xf numFmtId="0" fontId="7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right" vertical="center"/>
    </xf>
    <xf numFmtId="0" fontId="78" fillId="2" borderId="0" xfId="0" applyFont="1" applyFill="1" applyBorder="1"/>
    <xf numFmtId="0" fontId="40" fillId="2" borderId="18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8" fillId="15" borderId="57" xfId="0" applyFont="1" applyFill="1" applyBorder="1" applyAlignment="1">
      <alignment horizontal="center" vertical="center" wrapText="1"/>
    </xf>
    <xf numFmtId="0" fontId="28" fillId="15" borderId="30" xfId="0" applyFont="1" applyFill="1" applyBorder="1" applyAlignment="1">
      <alignment horizontal="center" vertical="center" wrapText="1"/>
    </xf>
    <xf numFmtId="0" fontId="28" fillId="15" borderId="33" xfId="0" applyFont="1" applyFill="1" applyBorder="1" applyAlignment="1">
      <alignment horizontal="center" vertical="center" wrapText="1"/>
    </xf>
    <xf numFmtId="0" fontId="28" fillId="15" borderId="0" xfId="0" applyFont="1" applyFill="1" applyAlignment="1">
      <alignment horizontal="center" vertical="center" wrapText="1"/>
    </xf>
    <xf numFmtId="0" fontId="33" fillId="2" borderId="0" xfId="1" applyFill="1" applyBorder="1" applyAlignment="1" applyProtection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25" fillId="15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7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7" fillId="2" borderId="18" xfId="1" applyFont="1" applyFill="1" applyBorder="1" applyAlignment="1">
      <alignment horizontal="center" vertical="top"/>
    </xf>
    <xf numFmtId="0" fontId="67" fillId="2" borderId="0" xfId="0" applyFont="1" applyFill="1" applyBorder="1" applyAlignment="1">
      <alignment horizontal="center" vertical="top"/>
    </xf>
    <xf numFmtId="0" fontId="67" fillId="2" borderId="19" xfId="0" applyFont="1" applyFill="1" applyBorder="1" applyAlignment="1">
      <alignment horizontal="center" vertical="top"/>
    </xf>
    <xf numFmtId="0" fontId="73" fillId="2" borderId="0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vertical="center"/>
    </xf>
    <xf numFmtId="0" fontId="69" fillId="2" borderId="18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/>
    </xf>
    <xf numFmtId="0" fontId="32" fillId="0" borderId="1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4" fillId="2" borderId="0" xfId="0" applyFont="1" applyFill="1" applyBorder="1"/>
    <xf numFmtId="0" fontId="31" fillId="2" borderId="0" xfId="0" applyFont="1" applyFill="1" applyBorder="1"/>
    <xf numFmtId="0" fontId="1" fillId="2" borderId="18" xfId="0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74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39" fillId="8" borderId="18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1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 wrapText="1"/>
    </xf>
    <xf numFmtId="0" fontId="68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/>
    </xf>
    <xf numFmtId="0" fontId="37" fillId="2" borderId="0" xfId="0" applyFont="1" applyFill="1" applyBorder="1"/>
    <xf numFmtId="0" fontId="37" fillId="2" borderId="16" xfId="0" applyFont="1" applyFill="1" applyBorder="1"/>
    <xf numFmtId="2" fontId="1" fillId="2" borderId="18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2" fontId="1" fillId="4" borderId="43" xfId="0" applyNumberFormat="1" applyFont="1" applyFill="1" applyBorder="1" applyAlignment="1" applyProtection="1">
      <alignment vertical="center"/>
      <protection locked="0"/>
    </xf>
    <xf numFmtId="0" fontId="1" fillId="4" borderId="44" xfId="0" applyFont="1" applyFill="1" applyBorder="1" applyAlignment="1" applyProtection="1">
      <alignment vertical="center"/>
      <protection locked="0"/>
    </xf>
    <xf numFmtId="2" fontId="9" fillId="2" borderId="18" xfId="0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1" fillId="2" borderId="53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1" fillId="11" borderId="48" xfId="1" applyFont="1" applyFill="1" applyBorder="1" applyAlignment="1">
      <alignment horizontal="center" vertical="center"/>
    </xf>
    <xf numFmtId="0" fontId="31" fillId="11" borderId="13" xfId="1" applyFont="1" applyFill="1" applyBorder="1" applyAlignment="1">
      <alignment horizontal="center" vertical="center"/>
    </xf>
    <xf numFmtId="0" fontId="31" fillId="11" borderId="49" xfId="1" applyFont="1" applyFill="1" applyBorder="1" applyAlignment="1">
      <alignment horizontal="center" vertical="center"/>
    </xf>
    <xf numFmtId="0" fontId="67" fillId="12" borderId="26" xfId="1" applyFont="1" applyFill="1" applyBorder="1" applyAlignment="1">
      <alignment horizontal="center" vertical="top"/>
    </xf>
    <xf numFmtId="0" fontId="67" fillId="12" borderId="27" xfId="1" applyFont="1" applyFill="1" applyBorder="1" applyAlignment="1">
      <alignment horizontal="center" vertical="top"/>
    </xf>
    <xf numFmtId="0" fontId="67" fillId="12" borderId="28" xfId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68" fillId="0" borderId="48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68" fillId="0" borderId="49" xfId="0" applyFont="1" applyBorder="1" applyAlignment="1">
      <alignment horizontal="center" vertical="center" wrapText="1"/>
    </xf>
    <xf numFmtId="2" fontId="9" fillId="13" borderId="45" xfId="0" applyNumberFormat="1" applyFont="1" applyFill="1" applyBorder="1" applyAlignment="1">
      <alignment horizontal="center" vertical="center"/>
    </xf>
    <xf numFmtId="0" fontId="6" fillId="13" borderId="46" xfId="0" applyFont="1" applyFill="1" applyBorder="1"/>
    <xf numFmtId="0" fontId="6" fillId="13" borderId="39" xfId="0" applyFont="1" applyFill="1" applyBorder="1"/>
    <xf numFmtId="0" fontId="61" fillId="12" borderId="50" xfId="0" applyFont="1" applyFill="1" applyBorder="1" applyAlignment="1">
      <alignment horizontal="center"/>
    </xf>
    <xf numFmtId="0" fontId="61" fillId="12" borderId="51" xfId="0" applyFont="1" applyFill="1" applyBorder="1" applyAlignment="1">
      <alignment horizontal="center"/>
    </xf>
    <xf numFmtId="0" fontId="61" fillId="12" borderId="52" xfId="0" applyFont="1" applyFill="1" applyBorder="1" applyAlignment="1">
      <alignment horizontal="center"/>
    </xf>
    <xf numFmtId="0" fontId="9" fillId="14" borderId="45" xfId="0" applyFont="1" applyFill="1" applyBorder="1" applyAlignment="1">
      <alignment horizontal="center" vertical="center"/>
    </xf>
    <xf numFmtId="0" fontId="0" fillId="14" borderId="46" xfId="0" applyFill="1" applyBorder="1"/>
    <xf numFmtId="0" fontId="0" fillId="14" borderId="39" xfId="0" applyFill="1" applyBorder="1"/>
    <xf numFmtId="0" fontId="67" fillId="12" borderId="18" xfId="1" applyFont="1" applyFill="1" applyBorder="1" applyAlignment="1">
      <alignment horizontal="center"/>
    </xf>
    <xf numFmtId="0" fontId="67" fillId="12" borderId="0" xfId="0" applyFont="1" applyFill="1" applyBorder="1" applyAlignment="1">
      <alignment horizontal="center"/>
    </xf>
    <xf numFmtId="0" fontId="67" fillId="12" borderId="19" xfId="0" applyFont="1" applyFill="1" applyBorder="1" applyAlignment="1">
      <alignment horizontal="center"/>
    </xf>
    <xf numFmtId="0" fontId="61" fillId="11" borderId="50" xfId="0" applyFont="1" applyFill="1" applyBorder="1" applyAlignment="1">
      <alignment horizontal="center"/>
    </xf>
    <xf numFmtId="0" fontId="61" fillId="11" borderId="51" xfId="0" applyFont="1" applyFill="1" applyBorder="1" applyAlignment="1">
      <alignment horizontal="center"/>
    </xf>
    <xf numFmtId="0" fontId="61" fillId="11" borderId="52" xfId="0" applyFont="1" applyFill="1" applyBorder="1" applyAlignment="1">
      <alignment horizontal="center"/>
    </xf>
    <xf numFmtId="0" fontId="72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2" fontId="31" fillId="2" borderId="0" xfId="0" applyNumberFormat="1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right" vertical="center"/>
    </xf>
    <xf numFmtId="0" fontId="46" fillId="2" borderId="27" xfId="0" applyFont="1" applyFill="1" applyBorder="1" applyAlignment="1">
      <alignment horizontal="right" vertical="center"/>
    </xf>
    <xf numFmtId="0" fontId="46" fillId="2" borderId="28" xfId="0" applyFont="1" applyFill="1" applyBorder="1" applyAlignment="1">
      <alignment horizontal="right" vertical="center"/>
    </xf>
    <xf numFmtId="0" fontId="73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0" fontId="76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 wrapText="1"/>
    </xf>
    <xf numFmtId="0" fontId="61" fillId="5" borderId="0" xfId="0" applyFont="1" applyFill="1" applyAlignment="1">
      <alignment horizontal="center"/>
    </xf>
    <xf numFmtId="2" fontId="9" fillId="8" borderId="45" xfId="0" applyNumberFormat="1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/>
    </xf>
    <xf numFmtId="0" fontId="9" fillId="8" borderId="39" xfId="0" applyFont="1" applyFill="1" applyBorder="1" applyAlignment="1">
      <alignment horizontal="center"/>
    </xf>
    <xf numFmtId="0" fontId="65" fillId="2" borderId="18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center"/>
    </xf>
    <xf numFmtId="0" fontId="37" fillId="2" borderId="16" xfId="0" applyFont="1" applyFill="1" applyBorder="1" applyAlignment="1">
      <alignment horizontal="left" vertical="center"/>
    </xf>
    <xf numFmtId="0" fontId="9" fillId="9" borderId="38" xfId="0" applyFont="1" applyFill="1" applyBorder="1" applyAlignment="1">
      <alignment horizontal="center" vertical="center"/>
    </xf>
    <xf numFmtId="0" fontId="3" fillId="9" borderId="47" xfId="0" applyFont="1" applyFill="1" applyBorder="1"/>
    <xf numFmtId="2" fontId="9" fillId="10" borderId="45" xfId="0" applyNumberFormat="1" applyFont="1" applyFill="1" applyBorder="1" applyAlignment="1">
      <alignment horizontal="center" vertical="center"/>
    </xf>
    <xf numFmtId="0" fontId="6" fillId="10" borderId="46" xfId="0" applyFont="1" applyFill="1" applyBorder="1"/>
    <xf numFmtId="0" fontId="6" fillId="10" borderId="47" xfId="0" applyFont="1" applyFill="1" applyBorder="1"/>
    <xf numFmtId="0" fontId="31" fillId="2" borderId="0" xfId="0" applyFont="1" applyFill="1" applyBorder="1" applyAlignment="1">
      <alignment horizontal="left"/>
    </xf>
    <xf numFmtId="2" fontId="31" fillId="2" borderId="0" xfId="0" applyNumberFormat="1" applyFont="1" applyFill="1" applyBorder="1" applyAlignment="1">
      <alignment horizontal="left" vertical="center"/>
    </xf>
    <xf numFmtId="2" fontId="1" fillId="4" borderId="44" xfId="0" applyNumberFormat="1" applyFont="1" applyFill="1" applyBorder="1" applyAlignment="1" applyProtection="1">
      <alignment vertical="center"/>
      <protection locked="0"/>
    </xf>
    <xf numFmtId="0" fontId="40" fillId="2" borderId="18" xfId="0" applyFont="1" applyFill="1" applyBorder="1"/>
    <xf numFmtId="0" fontId="0" fillId="2" borderId="0" xfId="0" applyFill="1" applyBorder="1"/>
    <xf numFmtId="0" fontId="0" fillId="2" borderId="19" xfId="0" applyFill="1" applyBorder="1"/>
    <xf numFmtId="0" fontId="75" fillId="2" borderId="0" xfId="0" applyFont="1" applyFill="1" applyBorder="1" applyAlignment="1">
      <alignment horizontal="center" vertical="center" textRotation="9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48" fillId="4" borderId="12" xfId="0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>
      <alignment horizontal="center" vertical="center"/>
    </xf>
    <xf numFmtId="0" fontId="3" fillId="7" borderId="39" xfId="0" applyFont="1" applyFill="1" applyBorder="1"/>
    <xf numFmtId="0" fontId="1" fillId="2" borderId="18" xfId="0" applyFont="1" applyFill="1" applyBorder="1"/>
    <xf numFmtId="0" fontId="0" fillId="0" borderId="0" xfId="0" applyBorder="1"/>
    <xf numFmtId="0" fontId="0" fillId="0" borderId="16" xfId="0" applyBorder="1"/>
    <xf numFmtId="0" fontId="46" fillId="2" borderId="40" xfId="0" applyFont="1" applyFill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73" fillId="2" borderId="0" xfId="0" applyFont="1" applyFill="1" applyBorder="1"/>
  </cellXfs>
  <cellStyles count="3">
    <cellStyle name="Lien hypertexte" xfId="1" builtinId="8"/>
    <cellStyle name="Normal" xfId="0" builtinId="0"/>
    <cellStyle name="Normal 2" xfId="2" xr:uid="{FD436EFB-B1A7-484D-8DD1-77006280FCF3}"/>
  </cellStyles>
  <dxfs count="102"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9" tint="0.79998168889431442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7" tint="-0.24994659260841701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</dxf>
    <dxf>
      <font>
        <color theme="7" tint="-0.24994659260841701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egamelleautop.fr/" TargetMode="Externa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33251</xdr:colOff>
      <xdr:row>1</xdr:row>
      <xdr:rowOff>41564</xdr:rowOff>
    </xdr:from>
    <xdr:to>
      <xdr:col>1</xdr:col>
      <xdr:colOff>1446415</xdr:colOff>
      <xdr:row>4</xdr:row>
      <xdr:rowOff>199505</xdr:rowOff>
    </xdr:to>
    <xdr:pic>
      <xdr:nvPicPr>
        <xdr:cNvPr id="71843" name="Image 7">
          <a:extLst>
            <a:ext uri="{FF2B5EF4-FFF2-40B4-BE49-F238E27FC236}">
              <a16:creationId xmlns:a16="http://schemas.microsoft.com/office/drawing/2014/main" id="{1EE952B6-DF70-36D4-7D84-362998ED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9" r="11099"/>
        <a:stretch>
          <a:fillRect/>
        </a:stretch>
      </xdr:blipFill>
      <xdr:spPr bwMode="auto">
        <a:xfrm>
          <a:off x="74815" y="141316"/>
          <a:ext cx="1413163" cy="88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972589</xdr:colOff>
      <xdr:row>1</xdr:row>
      <xdr:rowOff>49876</xdr:rowOff>
    </xdr:from>
    <xdr:to>
      <xdr:col>11</xdr:col>
      <xdr:colOff>1363287</xdr:colOff>
      <xdr:row>4</xdr:row>
      <xdr:rowOff>216131</xdr:rowOff>
    </xdr:to>
    <xdr:pic>
      <xdr:nvPicPr>
        <xdr:cNvPr id="71844" name="Image 8">
          <a:extLst>
            <a:ext uri="{FF2B5EF4-FFF2-40B4-BE49-F238E27FC236}">
              <a16:creationId xmlns:a16="http://schemas.microsoft.com/office/drawing/2014/main" id="{FAA2D60B-FAEE-B676-1261-E59B83B5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86" t="11667" r="5046" b="16666"/>
        <a:stretch>
          <a:fillRect/>
        </a:stretch>
      </xdr:blipFill>
      <xdr:spPr bwMode="auto">
        <a:xfrm>
          <a:off x="13125796" y="149629"/>
          <a:ext cx="1920240" cy="889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374073</xdr:colOff>
      <xdr:row>48</xdr:row>
      <xdr:rowOff>66502</xdr:rowOff>
    </xdr:from>
    <xdr:to>
      <xdr:col>4</xdr:col>
      <xdr:colOff>182880</xdr:colOff>
      <xdr:row>56</xdr:row>
      <xdr:rowOff>16625</xdr:rowOff>
    </xdr:to>
    <xdr:pic>
      <xdr:nvPicPr>
        <xdr:cNvPr id="71845" name="Image 13" descr="http://www.unegamelleautop.f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779325-E3C1-A0E5-33A4-FB49C2CE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6" y="14248015"/>
          <a:ext cx="4073237" cy="2477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457200</xdr:colOff>
      <xdr:row>45</xdr:row>
      <xdr:rowOff>157942</xdr:rowOff>
    </xdr:from>
    <xdr:to>
      <xdr:col>11</xdr:col>
      <xdr:colOff>1088967</xdr:colOff>
      <xdr:row>48</xdr:row>
      <xdr:rowOff>290945</xdr:rowOff>
    </xdr:to>
    <xdr:pic>
      <xdr:nvPicPr>
        <xdr:cNvPr id="71846" name="Image 12" descr="http://www.unegamelleautop.f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10F2B4-E4F2-6F9E-E99F-BF74650C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0407" y="13391804"/>
          <a:ext cx="2161309" cy="1080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 b="0" i="0" u="none" strike="noStrike">
            <a:solidFill>
              <a:srgbClr val="000000"/>
            </a:solidFill>
            <a:latin typeface="Calibri"/>
            <a:ea typeface="Gill Sans" charset="0"/>
            <a:cs typeface="Calibri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fediaf.org/" TargetMode="External"/><Relationship Id="rId7" Type="http://schemas.openxmlformats.org/officeDocument/2006/relationships/hyperlink" Target="http://www.unegamelleautop.fr/" TargetMode="External"/><Relationship Id="rId2" Type="http://schemas.openxmlformats.org/officeDocument/2006/relationships/hyperlink" Target="http://www.fediaf.org/" TargetMode="External"/><Relationship Id="rId1" Type="http://schemas.openxmlformats.org/officeDocument/2006/relationships/hyperlink" Target="https://www.facco.fr/" TargetMode="External"/><Relationship Id="rId6" Type="http://schemas.openxmlformats.org/officeDocument/2006/relationships/hyperlink" Target="https://www.unegamelleautop.fr/" TargetMode="External"/><Relationship Id="rId5" Type="http://schemas.openxmlformats.org/officeDocument/2006/relationships/hyperlink" Target="https://www.unegamelleautop.fr/" TargetMode="External"/><Relationship Id="rId4" Type="http://schemas.openxmlformats.org/officeDocument/2006/relationships/hyperlink" Target="https://www.facebook.com/ToutSavoirSurAlimentationChienChat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8A08-562B-4F63-9583-E0999A88D899}">
  <sheetPr codeName="Feuil1"/>
  <dimension ref="A1:BZ206"/>
  <sheetViews>
    <sheetView tabSelected="1" zoomScale="80" zoomScaleNormal="80" zoomScaleSheetLayoutView="70" workbookViewId="0">
      <selection activeCell="C15" sqref="C15"/>
    </sheetView>
  </sheetViews>
  <sheetFormatPr baseColWidth="10" defaultRowHeight="18.350000000000001"/>
  <cols>
    <col min="1" max="1" width="0.5546875" style="8" customWidth="1"/>
    <col min="2" max="2" width="19.6640625" style="9" customWidth="1"/>
    <col min="3" max="3" width="19.6640625" style="8" customWidth="1"/>
    <col min="4" max="4" width="17.6640625" style="8" customWidth="1"/>
    <col min="5" max="5" width="2.6640625" style="8" customWidth="1"/>
    <col min="6" max="12" width="20.44140625" style="8" customWidth="1"/>
    <col min="13" max="16" width="15.6640625" style="89" customWidth="1"/>
    <col min="17" max="17" width="15.6640625" style="8" customWidth="1"/>
    <col min="18" max="22" width="15.6640625" style="8" hidden="1" customWidth="1"/>
    <col min="23" max="23" width="15.6640625" style="163" hidden="1" customWidth="1"/>
    <col min="24" max="24" width="33.6640625" style="164" hidden="1" customWidth="1"/>
    <col min="25" max="25" width="25.33203125" style="164" hidden="1" customWidth="1"/>
    <col min="26" max="26" width="42.5546875" style="164" hidden="1" customWidth="1"/>
    <col min="27" max="27" width="15.6640625" style="164" hidden="1" customWidth="1"/>
    <col min="28" max="28" width="19.88671875" style="167" hidden="1" customWidth="1"/>
    <col min="29" max="29" width="15.6640625" style="164" hidden="1" customWidth="1"/>
    <col min="30" max="30" width="12.6640625" style="164" hidden="1" customWidth="1"/>
    <col min="31" max="31" width="10.6640625" style="164" hidden="1" customWidth="1"/>
    <col min="32" max="32" width="34.33203125" style="164" hidden="1" customWidth="1"/>
    <col min="33" max="33" width="25.6640625" style="164" hidden="1" customWidth="1"/>
    <col min="34" max="34" width="39.21875" style="164" hidden="1" customWidth="1"/>
    <col min="35" max="36" width="12.6640625" style="164" hidden="1" customWidth="1"/>
    <col min="37" max="38" width="17.77734375" style="164" hidden="1" customWidth="1"/>
    <col min="39" max="40" width="10.6640625" style="164" hidden="1" customWidth="1"/>
    <col min="41" max="41" width="68.5546875" style="164" hidden="1" customWidth="1"/>
    <col min="42" max="42" width="6.6640625" style="164" hidden="1" customWidth="1"/>
    <col min="43" max="43" width="11.5546875" style="165" hidden="1" customWidth="1"/>
    <col min="44" max="44" width="29.88671875" style="164" hidden="1" customWidth="1"/>
    <col min="45" max="45" width="22.6640625" style="164" hidden="1" customWidth="1"/>
    <col min="46" max="46" width="11.5546875" style="164" hidden="1" customWidth="1"/>
    <col min="47" max="47" width="36.88671875" style="164" hidden="1" customWidth="1"/>
    <col min="48" max="48" width="15.33203125" style="164" hidden="1" customWidth="1"/>
    <col min="49" max="53" width="11.5546875" style="164" hidden="1" customWidth="1"/>
    <col min="54" max="54" width="12.77734375" style="164" hidden="1" customWidth="1"/>
    <col min="55" max="55" width="11.5546875" style="164" hidden="1" customWidth="1"/>
    <col min="56" max="56" width="35.77734375" style="164" hidden="1" customWidth="1"/>
    <col min="57" max="64" width="11.5546875" style="164" hidden="1" customWidth="1"/>
    <col min="65" max="65" width="40.77734375" style="164" hidden="1" customWidth="1"/>
    <col min="66" max="68" width="11.5546875" style="164" hidden="1" customWidth="1"/>
    <col min="69" max="78" width="11.5546875" style="1" hidden="1" customWidth="1"/>
    <col min="79" max="16384" width="11.5546875" style="1"/>
  </cols>
  <sheetData>
    <row r="1" spans="1:65" ht="8.0500000000000007" customHeight="1">
      <c r="A1" s="29"/>
      <c r="B1" s="214"/>
      <c r="C1" s="215"/>
      <c r="D1" s="215"/>
      <c r="E1" s="215"/>
      <c r="F1" s="215"/>
      <c r="G1" s="215"/>
      <c r="H1" s="215"/>
      <c r="I1" s="29"/>
      <c r="J1" s="29"/>
      <c r="K1" s="29"/>
      <c r="L1" s="29"/>
      <c r="M1" s="84"/>
      <c r="N1" s="85"/>
      <c r="O1" s="85"/>
      <c r="P1" s="85"/>
      <c r="Q1" s="30"/>
      <c r="R1" s="2"/>
      <c r="S1" s="2"/>
      <c r="T1" s="2"/>
      <c r="U1" s="2"/>
      <c r="V1" s="2"/>
      <c r="X1" s="151"/>
      <c r="AC1" s="240" t="s">
        <v>118</v>
      </c>
      <c r="AD1" s="241"/>
      <c r="AE1" s="241"/>
      <c r="AF1" s="153">
        <f>$I$13</f>
        <v>0</v>
      </c>
      <c r="AG1" s="153">
        <f>$K$13</f>
        <v>0</v>
      </c>
      <c r="BC1" s="151"/>
    </row>
    <row r="2" spans="1:65" ht="19" customHeight="1">
      <c r="A2" s="29"/>
      <c r="B2" s="205" t="s">
        <v>596</v>
      </c>
      <c r="C2" s="206"/>
      <c r="D2" s="206"/>
      <c r="E2" s="206"/>
      <c r="F2" s="206"/>
      <c r="G2" s="206"/>
      <c r="H2" s="206"/>
      <c r="I2" s="206"/>
      <c r="J2" s="206"/>
      <c r="K2" s="206"/>
      <c r="L2" s="207"/>
      <c r="M2" s="84"/>
      <c r="N2" s="85"/>
      <c r="O2" s="85"/>
      <c r="P2" s="85"/>
      <c r="Q2" s="30"/>
      <c r="R2" s="2"/>
      <c r="S2" s="2"/>
      <c r="T2" s="2"/>
      <c r="U2" s="2"/>
      <c r="V2" s="2"/>
      <c r="X2" s="151"/>
      <c r="Y2" s="292" t="s">
        <v>496</v>
      </c>
      <c r="Z2" s="303"/>
      <c r="AA2" s="151"/>
      <c r="AB2" s="158"/>
      <c r="AC2" s="240" t="s">
        <v>151</v>
      </c>
      <c r="AD2" s="241"/>
      <c r="AE2" s="241"/>
      <c r="AF2" s="153">
        <f>($I$9*3)+($I$10*8)+($Z$11*3)</f>
        <v>0</v>
      </c>
      <c r="AG2" s="153">
        <f>($K$9*3)+($K$10*8)+($Z$12*3)</f>
        <v>0</v>
      </c>
      <c r="AJ2" s="166" t="s">
        <v>542</v>
      </c>
      <c r="AK2" s="166"/>
      <c r="AO2" s="229" t="s">
        <v>93</v>
      </c>
      <c r="AP2" s="229"/>
      <c r="AQ2" s="229"/>
      <c r="AR2" s="229"/>
      <c r="AS2" s="229"/>
      <c r="AT2" s="229"/>
      <c r="AU2" s="229"/>
      <c r="AV2" s="229"/>
      <c r="AW2" s="236"/>
      <c r="AX2" s="236"/>
      <c r="AY2" s="236"/>
      <c r="AZ2" s="236"/>
      <c r="BA2" s="237"/>
      <c r="BD2" s="229" t="s">
        <v>414</v>
      </c>
      <c r="BE2" s="229"/>
      <c r="BF2" s="229"/>
      <c r="BG2" s="229"/>
      <c r="BH2" s="229"/>
      <c r="BI2" s="229"/>
      <c r="BJ2" s="229"/>
      <c r="BK2" s="229"/>
      <c r="BL2" s="229"/>
      <c r="BM2" s="229"/>
    </row>
    <row r="3" spans="1:65" ht="19" customHeight="1">
      <c r="A3" s="29"/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10"/>
      <c r="M3" s="84"/>
      <c r="N3" s="85"/>
      <c r="O3" s="85"/>
      <c r="P3" s="85"/>
      <c r="Q3" s="30"/>
      <c r="R3" s="5"/>
      <c r="S3" s="2"/>
      <c r="T3" s="2"/>
      <c r="U3" s="2"/>
      <c r="V3" s="2"/>
      <c r="Y3" s="168" t="s">
        <v>207</v>
      </c>
      <c r="Z3" s="168">
        <f>IF($I$19&gt;0,ROUNDDOWN($I$9/$I$19,1),0)</f>
        <v>0</v>
      </c>
      <c r="AA3" s="151"/>
      <c r="AB3" s="158"/>
      <c r="AC3" s="240" t="s">
        <v>236</v>
      </c>
      <c r="AD3" s="241"/>
      <c r="AE3" s="241"/>
      <c r="AF3" s="153">
        <f>($I$9*4)+($I$10*9)+($Z$11*4)</f>
        <v>0</v>
      </c>
      <c r="AG3" s="153">
        <f>($K$9*4)+($K$10*9)+($Z$12*4)</f>
        <v>0</v>
      </c>
      <c r="AJ3" s="164" t="s">
        <v>539</v>
      </c>
      <c r="AK3" s="164">
        <f>ROUND((5.7*$I$9)+(9.4*$I$10)+(4.1*($I$11+$I$14)),3)</f>
        <v>0</v>
      </c>
      <c r="AO3" s="242" t="s">
        <v>66</v>
      </c>
      <c r="AP3" s="242"/>
      <c r="AR3" s="242" t="s">
        <v>69</v>
      </c>
      <c r="AS3" s="242"/>
      <c r="AU3" s="242" t="s">
        <v>73</v>
      </c>
      <c r="AV3" s="242"/>
      <c r="AW3" s="242" t="s">
        <v>111</v>
      </c>
      <c r="AX3" s="242"/>
      <c r="AY3" s="242"/>
      <c r="AZ3" s="242"/>
      <c r="BA3" s="151" t="s">
        <v>107</v>
      </c>
      <c r="BB3" s="151" t="s">
        <v>552</v>
      </c>
      <c r="BD3" s="151" t="s">
        <v>363</v>
      </c>
      <c r="BE3" s="151" t="s">
        <v>364</v>
      </c>
      <c r="BF3" s="151" t="s">
        <v>365</v>
      </c>
      <c r="BG3" s="151" t="s">
        <v>366</v>
      </c>
      <c r="BH3" s="151" t="s">
        <v>367</v>
      </c>
      <c r="BI3" s="151" t="s">
        <v>368</v>
      </c>
      <c r="BJ3" s="151" t="s">
        <v>369</v>
      </c>
      <c r="BK3" s="151" t="s">
        <v>370</v>
      </c>
      <c r="BL3" s="151" t="s">
        <v>371</v>
      </c>
      <c r="BM3" s="151" t="s">
        <v>415</v>
      </c>
    </row>
    <row r="4" spans="1:65" ht="19" customHeight="1" thickBot="1">
      <c r="A4" s="29"/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10"/>
      <c r="M4" s="84"/>
      <c r="N4" s="85"/>
      <c r="O4" s="85"/>
      <c r="P4" s="85"/>
      <c r="Q4" s="30"/>
      <c r="R4" s="5"/>
      <c r="S4" s="2"/>
      <c r="T4" s="2"/>
      <c r="U4" s="2"/>
      <c r="V4" s="28"/>
      <c r="Y4" s="168" t="s">
        <v>208</v>
      </c>
      <c r="Z4" s="168">
        <f>IF($K$19&gt;0,ROUNDDOWN($K$9/$K$19,1),0)</f>
        <v>0</v>
      </c>
      <c r="AA4" s="169"/>
      <c r="AB4" s="152"/>
      <c r="AC4" s="240" t="s">
        <v>237</v>
      </c>
      <c r="AD4" s="241"/>
      <c r="AE4" s="241"/>
      <c r="AF4" s="153">
        <f>($I$9*3.5)+($I$10*8.5)+($Z$11*3.5)</f>
        <v>0</v>
      </c>
      <c r="AG4" s="153">
        <f>($K$9*3.5)+($K$10*8.5)+($Z$12*3.5)</f>
        <v>0</v>
      </c>
      <c r="AJ4" s="164" t="s">
        <v>540</v>
      </c>
      <c r="AK4" s="164">
        <f>IF(AK3&gt;0,ROUND(91.2-(1.43*$J$11),3),0)</f>
        <v>0</v>
      </c>
      <c r="AO4" s="170" t="s">
        <v>84</v>
      </c>
      <c r="AP4" s="171">
        <v>1</v>
      </c>
      <c r="AR4" s="168" t="s">
        <v>162</v>
      </c>
      <c r="AS4" s="151">
        <v>1</v>
      </c>
      <c r="AU4" s="172" t="s">
        <v>74</v>
      </c>
      <c r="AV4" s="151">
        <v>1</v>
      </c>
      <c r="AW4" s="151">
        <v>55</v>
      </c>
      <c r="AX4" s="151">
        <v>60</v>
      </c>
      <c r="AY4" s="151">
        <v>65</v>
      </c>
      <c r="AZ4" s="151">
        <f>IF($C$15&lt;10,AW4,IF($C$15&lt;25,AX4,IF($C$15&gt;24.99999999999,AY4)))</f>
        <v>55</v>
      </c>
      <c r="BA4" s="151">
        <v>1</v>
      </c>
      <c r="BB4" s="151">
        <v>0</v>
      </c>
      <c r="BD4" s="151" t="s">
        <v>372</v>
      </c>
      <c r="BE4" s="151">
        <v>200</v>
      </c>
      <c r="BF4" s="151">
        <v>19</v>
      </c>
      <c r="BG4" s="151">
        <v>14.1</v>
      </c>
      <c r="BH4" s="151">
        <v>0.2</v>
      </c>
      <c r="BI4" s="151">
        <v>0.85</v>
      </c>
      <c r="BJ4" s="151">
        <v>0</v>
      </c>
      <c r="BK4" s="151">
        <v>12.7</v>
      </c>
      <c r="BL4" s="151">
        <v>170</v>
      </c>
      <c r="BM4" s="168" t="s">
        <v>416</v>
      </c>
    </row>
    <row r="5" spans="1:65" ht="19" customHeight="1">
      <c r="A5" s="29"/>
      <c r="B5" s="211"/>
      <c r="C5" s="212"/>
      <c r="D5" s="212"/>
      <c r="E5" s="212"/>
      <c r="F5" s="212"/>
      <c r="G5" s="212"/>
      <c r="H5" s="212"/>
      <c r="I5" s="212"/>
      <c r="J5" s="212"/>
      <c r="K5" s="212"/>
      <c r="L5" s="213"/>
      <c r="M5" s="84"/>
      <c r="N5" s="85"/>
      <c r="O5" s="85"/>
      <c r="P5" s="85"/>
      <c r="Q5" s="30"/>
      <c r="R5" s="5"/>
      <c r="S5" s="138"/>
      <c r="T5" s="139"/>
      <c r="U5" s="140"/>
      <c r="V5" s="28"/>
      <c r="Y5" s="152" t="s">
        <v>534</v>
      </c>
      <c r="Z5" s="153" t="str">
        <f>"-$Z$75 dans la formule depuis v3.0"</f>
        <v>-$Z$75 dans la formule depuis v3.0</v>
      </c>
      <c r="AA5" s="153">
        <f>IF($Z$21=3,($I$16*$L$23/100)+($K$16*$L$24/100),0)</f>
        <v>0</v>
      </c>
      <c r="AB5" s="158"/>
      <c r="AC5" s="243" t="s">
        <v>513</v>
      </c>
      <c r="AD5" s="243"/>
      <c r="AE5" s="243"/>
      <c r="AF5" s="153">
        <f>ROUNDDOWN(IF($I$11&gt;8,$AF$2,IF($AF$1&gt;20,$AF$3,$AF$4)),0)</f>
        <v>0</v>
      </c>
      <c r="AG5" s="153">
        <f>ROUNDDOWN(IF($K$11&gt;8,$AG$2,IF($AG$1&gt;20,$AG$3,$AG$4)),0)</f>
        <v>0</v>
      </c>
      <c r="AJ5" s="164" t="s">
        <v>541</v>
      </c>
      <c r="AK5" s="164">
        <f>ROUND((AK3*AK4)/100,3)</f>
        <v>0</v>
      </c>
      <c r="AO5" s="170" t="s">
        <v>240</v>
      </c>
      <c r="AP5" s="171">
        <v>1</v>
      </c>
      <c r="AR5" s="168" t="s">
        <v>163</v>
      </c>
      <c r="AS5" s="151">
        <v>0.9</v>
      </c>
      <c r="AU5" s="172" t="s">
        <v>592</v>
      </c>
      <c r="AV5" s="151">
        <v>1</v>
      </c>
      <c r="AW5" s="151">
        <v>55</v>
      </c>
      <c r="AX5" s="151">
        <v>60</v>
      </c>
      <c r="AY5" s="151">
        <v>65</v>
      </c>
      <c r="AZ5" s="151">
        <f>IF($C$15&lt;10,AW5,IF($C$15&lt;25,AX5,IF($C$15&gt;24.99999999999,AY5)))</f>
        <v>55</v>
      </c>
      <c r="BA5" s="151">
        <v>1</v>
      </c>
      <c r="BB5" s="151">
        <v>0</v>
      </c>
      <c r="BD5" s="151" t="s">
        <v>373</v>
      </c>
      <c r="BE5" s="151">
        <v>209</v>
      </c>
      <c r="BF5" s="151">
        <v>28.3</v>
      </c>
      <c r="BG5" s="151">
        <v>10.7</v>
      </c>
      <c r="BH5" s="151">
        <v>1.2E-2</v>
      </c>
      <c r="BI5" s="151">
        <v>0.85</v>
      </c>
      <c r="BJ5" s="151">
        <v>0</v>
      </c>
      <c r="BK5" s="151">
        <v>12.7</v>
      </c>
      <c r="BL5" s="151">
        <v>170</v>
      </c>
      <c r="BM5" s="168" t="s">
        <v>417</v>
      </c>
    </row>
    <row r="6" spans="1:65" ht="10" customHeight="1">
      <c r="A6" s="30"/>
      <c r="B6" s="31"/>
      <c r="C6" s="31"/>
      <c r="D6" s="31"/>
      <c r="E6" s="86"/>
      <c r="F6" s="31"/>
      <c r="G6" s="31"/>
      <c r="H6" s="31"/>
      <c r="I6" s="31"/>
      <c r="J6" s="31"/>
      <c r="K6" s="31"/>
      <c r="L6" s="31"/>
      <c r="M6" s="84"/>
      <c r="N6" s="86"/>
      <c r="O6" s="86"/>
      <c r="P6" s="86"/>
      <c r="Q6" s="34"/>
      <c r="R6" s="5"/>
      <c r="S6" s="141"/>
      <c r="T6" s="142"/>
      <c r="U6" s="143"/>
      <c r="V6" s="28"/>
      <c r="W6" s="154"/>
      <c r="Y6" s="173" t="s">
        <v>535</v>
      </c>
      <c r="Z6" s="153">
        <f>IF($Z$21=3,IF(L$23&gt;0,ROUND(((($B$29-$Z$75)/I16)*100)*(L$23/100)/5,0)*5,0),0)</f>
        <v>0</v>
      </c>
      <c r="AA6" s="153">
        <f>IF($Z$21=3,IF(L$23&gt;0,ROUND((($B$29-$Z$75)*100/$AA$5)*($L$23/100)/5,0)*5,0),0)</f>
        <v>0</v>
      </c>
      <c r="AB6" s="158"/>
      <c r="AC6" s="243" t="s">
        <v>140</v>
      </c>
      <c r="AD6" s="243"/>
      <c r="AE6" s="243"/>
      <c r="AF6" s="153" t="s">
        <v>141</v>
      </c>
      <c r="AG6" s="153" t="s">
        <v>124</v>
      </c>
      <c r="AH6" s="151" t="s">
        <v>514</v>
      </c>
      <c r="AJ6" s="164" t="s">
        <v>473</v>
      </c>
      <c r="AK6" s="164">
        <f>ROUNDDOWN(AK5-(1.04*$I$9),0)</f>
        <v>0</v>
      </c>
      <c r="AO6" s="170" t="s">
        <v>0</v>
      </c>
      <c r="AP6" s="171">
        <v>1</v>
      </c>
      <c r="AR6" s="168" t="s">
        <v>164</v>
      </c>
      <c r="AS6" s="151">
        <v>0.8</v>
      </c>
      <c r="AU6" s="172" t="s">
        <v>580</v>
      </c>
      <c r="AV6" s="151">
        <v>1.6</v>
      </c>
      <c r="AW6" s="151">
        <v>70</v>
      </c>
      <c r="AX6" s="151">
        <v>70</v>
      </c>
      <c r="AY6" s="151">
        <v>70</v>
      </c>
      <c r="AZ6" s="151">
        <f t="shared" ref="AZ6:AZ15" si="0">IF($C$15&lt;10,AW6,IF($C$15&lt;25,AX6,IF($C$15&gt;24.99999999999,AY6)))</f>
        <v>70</v>
      </c>
      <c r="BA6" s="151">
        <v>125</v>
      </c>
      <c r="BB6" s="151">
        <v>1</v>
      </c>
      <c r="BD6" s="151" t="s">
        <v>374</v>
      </c>
      <c r="BE6" s="151">
        <v>152</v>
      </c>
      <c r="BF6" s="151">
        <v>22.3</v>
      </c>
      <c r="BG6" s="151">
        <v>6.74</v>
      </c>
      <c r="BH6" s="151">
        <v>0.6</v>
      </c>
      <c r="BI6" s="151">
        <v>1.04</v>
      </c>
      <c r="BJ6" s="151">
        <v>0</v>
      </c>
      <c r="BK6" s="151">
        <v>9.2799999999999994</v>
      </c>
      <c r="BL6" s="151">
        <v>189</v>
      </c>
      <c r="BM6" s="168" t="s">
        <v>418</v>
      </c>
    </row>
    <row r="7" spans="1:65" ht="25.2" customHeight="1">
      <c r="A7" s="30"/>
      <c r="B7" s="305" t="s">
        <v>150</v>
      </c>
      <c r="C7" s="305"/>
      <c r="D7" s="51"/>
      <c r="E7" s="86"/>
      <c r="F7" s="317" t="s">
        <v>230</v>
      </c>
      <c r="G7" s="318"/>
      <c r="H7" s="319"/>
      <c r="I7" s="315" t="s">
        <v>138</v>
      </c>
      <c r="J7" s="316"/>
      <c r="K7" s="329" t="s">
        <v>139</v>
      </c>
      <c r="L7" s="330"/>
      <c r="M7" s="86"/>
      <c r="N7" s="86"/>
      <c r="O7" s="86"/>
      <c r="P7" s="86"/>
      <c r="Q7" s="34"/>
      <c r="R7" s="5"/>
      <c r="S7" s="141"/>
      <c r="T7" s="144" t="s">
        <v>167</v>
      </c>
      <c r="U7" s="143"/>
      <c r="V7" s="28"/>
      <c r="W7" s="154"/>
      <c r="Y7" s="173" t="s">
        <v>536</v>
      </c>
      <c r="Z7" s="153">
        <f>IF($Z$21=3,IF(L$24&gt;0,ROUND(((($B$29-$Z$75)/K16)*100)*(L$24/100)/5,0)*5,0),0)</f>
        <v>0</v>
      </c>
      <c r="AA7" s="153">
        <f>IF($Z$21=3,IF(L$24&gt;0,ROUND((($B$29-$Z$75)*100/$AA$5)*($L$24/100)/5,0)*5,0),0)</f>
        <v>0</v>
      </c>
      <c r="AB7" s="158"/>
      <c r="AC7" s="243" t="s">
        <v>516</v>
      </c>
      <c r="AD7" s="243"/>
      <c r="AE7" s="243"/>
      <c r="AF7" s="153">
        <f>IF($AC$56=5,ROUND($I$9/$I$16*1000,1),0)</f>
        <v>0</v>
      </c>
      <c r="AG7" s="153">
        <f>IF($Z$48=5,ROUND($K$9/$K$16*1000,1),0)</f>
        <v>0</v>
      </c>
      <c r="AH7" s="151">
        <f>$AC$16</f>
        <v>0</v>
      </c>
      <c r="AO7" s="170" t="s">
        <v>1</v>
      </c>
      <c r="AP7" s="171">
        <v>1</v>
      </c>
      <c r="AQ7" s="165">
        <v>0.8</v>
      </c>
      <c r="AR7" s="168" t="s">
        <v>68</v>
      </c>
      <c r="AS7" s="151">
        <v>0.7</v>
      </c>
      <c r="AU7" s="172" t="s">
        <v>581</v>
      </c>
      <c r="AV7" s="151">
        <v>1.3</v>
      </c>
      <c r="AW7" s="151">
        <v>65</v>
      </c>
      <c r="AX7" s="151">
        <v>65</v>
      </c>
      <c r="AY7" s="151">
        <v>65</v>
      </c>
      <c r="AZ7" s="151">
        <f t="shared" si="0"/>
        <v>65</v>
      </c>
      <c r="BA7" s="151">
        <v>125</v>
      </c>
      <c r="BB7" s="151">
        <v>0</v>
      </c>
      <c r="BD7" s="151" t="s">
        <v>375</v>
      </c>
      <c r="BE7" s="151">
        <v>182</v>
      </c>
      <c r="BF7" s="151">
        <v>27.1</v>
      </c>
      <c r="BG7" s="151">
        <v>8.17</v>
      </c>
      <c r="BH7" s="151">
        <v>0</v>
      </c>
      <c r="BI7" s="151">
        <v>1.1100000000000001</v>
      </c>
      <c r="BJ7" s="151">
        <v>0</v>
      </c>
      <c r="BK7" s="151">
        <v>20</v>
      </c>
      <c r="BL7" s="151">
        <v>209</v>
      </c>
      <c r="BM7" s="168" t="s">
        <v>419</v>
      </c>
    </row>
    <row r="8" spans="1:65" ht="25.2" customHeight="1">
      <c r="A8" s="30"/>
      <c r="B8" s="31"/>
      <c r="C8" s="31"/>
      <c r="D8" s="31"/>
      <c r="E8" s="86"/>
      <c r="F8" s="331"/>
      <c r="G8" s="332"/>
      <c r="H8" s="333"/>
      <c r="I8" s="13" t="s">
        <v>121</v>
      </c>
      <c r="J8" s="25" t="s">
        <v>122</v>
      </c>
      <c r="K8" s="13" t="s">
        <v>121</v>
      </c>
      <c r="L8" s="63" t="s">
        <v>122</v>
      </c>
      <c r="M8" s="86"/>
      <c r="N8" s="86"/>
      <c r="O8" s="86"/>
      <c r="P8" s="86"/>
      <c r="Q8" s="34"/>
      <c r="R8" s="5"/>
      <c r="S8" s="141"/>
      <c r="T8" s="144" t="s">
        <v>556</v>
      </c>
      <c r="U8" s="143"/>
      <c r="V8" s="28"/>
      <c r="W8" s="154"/>
      <c r="X8" s="152" t="s">
        <v>531</v>
      </c>
      <c r="Y8" s="292" t="s">
        <v>206</v>
      </c>
      <c r="Z8" s="303"/>
      <c r="AA8" s="151"/>
      <c r="AB8" s="158"/>
      <c r="AC8" s="152"/>
      <c r="AD8" s="174"/>
      <c r="AE8" s="174"/>
      <c r="AF8" s="174"/>
      <c r="AG8" s="174"/>
      <c r="AJ8" s="166" t="s">
        <v>543</v>
      </c>
      <c r="AK8" s="166"/>
      <c r="AO8" s="170" t="s">
        <v>241</v>
      </c>
      <c r="AP8" s="171">
        <v>1</v>
      </c>
      <c r="AQ8" s="165">
        <v>0.8</v>
      </c>
      <c r="AR8" s="168" t="s">
        <v>165</v>
      </c>
      <c r="AS8" s="151">
        <v>1.1000000000000001</v>
      </c>
      <c r="AU8" s="172" t="s">
        <v>582</v>
      </c>
      <c r="AV8" s="151">
        <v>1.1000000000000001</v>
      </c>
      <c r="AW8" s="151">
        <v>65</v>
      </c>
      <c r="AX8" s="151">
        <v>65</v>
      </c>
      <c r="AY8" s="151">
        <v>65</v>
      </c>
      <c r="AZ8" s="151">
        <f t="shared" si="0"/>
        <v>65</v>
      </c>
      <c r="BA8" s="151">
        <v>125</v>
      </c>
      <c r="BB8" s="151">
        <v>0</v>
      </c>
      <c r="BD8" s="151" t="s">
        <v>376</v>
      </c>
      <c r="BE8" s="151">
        <v>114</v>
      </c>
      <c r="BF8" s="151">
        <v>22.5</v>
      </c>
      <c r="BG8" s="151">
        <v>2.5</v>
      </c>
      <c r="BH8" s="151">
        <v>0.4</v>
      </c>
      <c r="BI8" s="151">
        <v>1.06</v>
      </c>
      <c r="BJ8" s="151">
        <v>0</v>
      </c>
      <c r="BK8" s="151">
        <v>7.33</v>
      </c>
      <c r="BL8" s="151">
        <v>195</v>
      </c>
      <c r="BM8" s="168" t="s">
        <v>420</v>
      </c>
    </row>
    <row r="9" spans="1:65" ht="25.2" customHeight="1">
      <c r="A9" s="30"/>
      <c r="B9" s="306" t="s">
        <v>232</v>
      </c>
      <c r="C9" s="307"/>
      <c r="D9" s="308"/>
      <c r="E9" s="86"/>
      <c r="F9" s="251" t="str">
        <f>" Protéines (en %)"</f>
        <v xml:space="preserve"> Protéines (en %)</v>
      </c>
      <c r="G9" s="252"/>
      <c r="H9" s="253"/>
      <c r="I9" s="16"/>
      <c r="J9" s="108" t="str">
        <f>IF($AC$56=5,IF(AD11=1,IF(I9&gt;0,ROUND((I9*100)/(100-$I$13),2),""),""),"")</f>
        <v/>
      </c>
      <c r="K9" s="16"/>
      <c r="L9" s="110" t="str">
        <f>IF($Z$48=5,IF(AD12=1,IF(K9&gt;0,ROUND((K9*100)/(100-$K$13),2),""),""),"")</f>
        <v/>
      </c>
      <c r="M9" s="86"/>
      <c r="N9" s="86"/>
      <c r="O9" s="86"/>
      <c r="P9" s="86"/>
      <c r="Q9" s="34"/>
      <c r="R9" s="5"/>
      <c r="S9" s="145"/>
      <c r="T9" s="146" t="s">
        <v>547</v>
      </c>
      <c r="U9" s="143"/>
      <c r="V9" s="28"/>
      <c r="W9" s="154"/>
      <c r="X9" s="152"/>
      <c r="Y9" s="168" t="s">
        <v>207</v>
      </c>
      <c r="Z9" s="168">
        <f>IF($I$19&gt;0,ROUNDDOWN($I$18/$I$19,2),0)</f>
        <v>0</v>
      </c>
      <c r="AA9" s="151"/>
      <c r="AB9" s="158"/>
      <c r="AC9" s="151"/>
      <c r="AJ9" s="164" t="s">
        <v>539</v>
      </c>
      <c r="AK9" s="164">
        <f>ROUND((5.7*$K$9)+(9.4*$K$10)+(4.1*($K$11+$K$14)),3)</f>
        <v>0</v>
      </c>
      <c r="AO9" s="170" t="s">
        <v>242</v>
      </c>
      <c r="AP9" s="171">
        <v>1</v>
      </c>
      <c r="AR9" s="168" t="s">
        <v>166</v>
      </c>
      <c r="AS9" s="151">
        <v>1.2</v>
      </c>
      <c r="AU9" s="172" t="s">
        <v>583</v>
      </c>
      <c r="AV9" s="151">
        <v>1.6</v>
      </c>
      <c r="AW9" s="151">
        <v>75</v>
      </c>
      <c r="AX9" s="151">
        <v>75</v>
      </c>
      <c r="AY9" s="151">
        <v>75</v>
      </c>
      <c r="AZ9" s="151">
        <f t="shared" si="0"/>
        <v>75</v>
      </c>
      <c r="BA9" s="151">
        <v>125</v>
      </c>
      <c r="BB9" s="151">
        <v>1</v>
      </c>
      <c r="BD9" s="151" t="s">
        <v>377</v>
      </c>
      <c r="BE9" s="151">
        <v>123</v>
      </c>
      <c r="BF9" s="151">
        <v>25</v>
      </c>
      <c r="BG9" s="151">
        <v>2.5</v>
      </c>
      <c r="BH9" s="151">
        <v>1E-3</v>
      </c>
      <c r="BI9" s="151">
        <v>1.1599999999999999</v>
      </c>
      <c r="BJ9" s="151">
        <v>0</v>
      </c>
      <c r="BK9" s="151">
        <v>7.5</v>
      </c>
      <c r="BL9" s="151">
        <v>200</v>
      </c>
      <c r="BM9" s="168" t="s">
        <v>421</v>
      </c>
    </row>
    <row r="10" spans="1:65" ht="25.2" customHeight="1">
      <c r="A10" s="30"/>
      <c r="B10" s="195" t="s">
        <v>570</v>
      </c>
      <c r="C10" s="196"/>
      <c r="D10" s="197"/>
      <c r="E10" s="90"/>
      <c r="F10" s="251" t="str">
        <f>" Lipides  / Matières Grasses (en %)"</f>
        <v xml:space="preserve"> Lipides  / Matières Grasses (en %)</v>
      </c>
      <c r="G10" s="252"/>
      <c r="H10" s="253"/>
      <c r="I10" s="16"/>
      <c r="J10" s="108" t="str">
        <f>IF($AC$56=5,IF(AD11=1,IF(I10&gt;0,ROUND((I10*100)/(100-$I$13),2),""),""),"")</f>
        <v/>
      </c>
      <c r="K10" s="16"/>
      <c r="L10" s="110" t="str">
        <f>IF($Z$48=5,IF(AD12=1,IF(K10&gt;0,ROUND((K10*100)/(100-$K$13),2),""),""),"")</f>
        <v/>
      </c>
      <c r="M10" s="86"/>
      <c r="N10" s="35"/>
      <c r="O10" s="86"/>
      <c r="P10" s="86"/>
      <c r="Q10" s="35"/>
      <c r="R10" s="5"/>
      <c r="S10" s="145"/>
      <c r="T10" s="144"/>
      <c r="U10" s="143"/>
      <c r="V10" s="28"/>
      <c r="W10" s="154"/>
      <c r="X10" s="151" t="s">
        <v>532</v>
      </c>
      <c r="Y10" s="168" t="s">
        <v>208</v>
      </c>
      <c r="Z10" s="168">
        <f>IF($K$19&gt;0,ROUNDDOWN($K$18/$K$19,2),0)</f>
        <v>0</v>
      </c>
      <c r="AA10" s="151"/>
      <c r="AB10" s="158" t="s">
        <v>152</v>
      </c>
      <c r="AC10" s="151" t="s">
        <v>171</v>
      </c>
      <c r="AD10" s="160">
        <v>-5</v>
      </c>
      <c r="AF10" s="153" t="s">
        <v>156</v>
      </c>
      <c r="AG10" s="174"/>
      <c r="AJ10" s="164" t="s">
        <v>540</v>
      </c>
      <c r="AK10" s="164">
        <f>IF(AK9&gt;0,ROUND(91.2-(1.43*$L$11),3),0)</f>
        <v>0</v>
      </c>
      <c r="AO10" s="170" t="s">
        <v>243</v>
      </c>
      <c r="AP10" s="171">
        <v>1</v>
      </c>
      <c r="AU10" s="172" t="s">
        <v>584</v>
      </c>
      <c r="AV10" s="151">
        <v>1.3</v>
      </c>
      <c r="AW10" s="151">
        <v>70</v>
      </c>
      <c r="AX10" s="151">
        <v>70</v>
      </c>
      <c r="AY10" s="151">
        <v>70</v>
      </c>
      <c r="AZ10" s="151">
        <f t="shared" si="0"/>
        <v>70</v>
      </c>
      <c r="BA10" s="151">
        <v>125</v>
      </c>
      <c r="BB10" s="151">
        <v>0</v>
      </c>
      <c r="BD10" s="151" t="s">
        <v>378</v>
      </c>
      <c r="BE10" s="151">
        <v>164</v>
      </c>
      <c r="BF10" s="151">
        <v>24</v>
      </c>
      <c r="BG10" s="151">
        <v>7.5</v>
      </c>
      <c r="BH10" s="151">
        <v>0</v>
      </c>
      <c r="BI10" s="151">
        <v>0.9</v>
      </c>
      <c r="BJ10" s="151">
        <v>0</v>
      </c>
      <c r="BK10" s="151">
        <v>18</v>
      </c>
      <c r="BL10" s="151">
        <v>170</v>
      </c>
      <c r="BM10" s="168" t="s">
        <v>422</v>
      </c>
    </row>
    <row r="11" spans="1:65" ht="25.2" customHeight="1">
      <c r="A11" s="30"/>
      <c r="B11" s="198"/>
      <c r="C11" s="196"/>
      <c r="D11" s="197"/>
      <c r="E11" s="90"/>
      <c r="F11" s="254" t="str">
        <f>" Fibres / Celullose Brute (en %)"</f>
        <v xml:space="preserve"> Fibres / Celullose Brute (en %)</v>
      </c>
      <c r="G11" s="252"/>
      <c r="H11" s="253"/>
      <c r="I11" s="16"/>
      <c r="J11" s="108" t="str">
        <f>IF($AC$56=5,IF(AD11=1,IF(I11&gt;0,ROUND((I11*100)/(100-$I$13),2),""),""),"")</f>
        <v/>
      </c>
      <c r="K11" s="16"/>
      <c r="L11" s="110" t="str">
        <f>IF($Z$48=5,IF(AD12=1,IF(K11&gt;0,ROUND((K11*100)/(100-$K$13),2),""),""),"")</f>
        <v/>
      </c>
      <c r="M11" s="86"/>
      <c r="N11" s="35"/>
      <c r="O11" s="86"/>
      <c r="P11" s="86"/>
      <c r="Q11" s="35"/>
      <c r="R11" s="5"/>
      <c r="S11" s="145"/>
      <c r="T11" s="144" t="s">
        <v>168</v>
      </c>
      <c r="U11" s="143"/>
      <c r="V11" s="28"/>
      <c r="W11" s="154"/>
      <c r="X11" s="151" t="s">
        <v>527</v>
      </c>
      <c r="Y11" s="164" t="s">
        <v>238</v>
      </c>
      <c r="Z11" s="165">
        <f>IF($AC$56=5,IF($AD$11=1,$AC$13,0),0)</f>
        <v>0</v>
      </c>
      <c r="AA11" s="151"/>
      <c r="AB11" s="158" t="s">
        <v>153</v>
      </c>
      <c r="AC11" s="151">
        <f>IF($AC$56=5,100-$I$9-$I$10-$I$11-$I$12-$I$13,0)</f>
        <v>0</v>
      </c>
      <c r="AD11" s="151">
        <f>IF($AC$11&lt;$AD$10,0,IF($AC$11=100,0,1))</f>
        <v>1</v>
      </c>
      <c r="AF11" s="153" t="s">
        <v>157</v>
      </c>
      <c r="AG11" s="153" t="s">
        <v>124</v>
      </c>
      <c r="AH11" s="174"/>
      <c r="AJ11" s="164" t="s">
        <v>541</v>
      </c>
      <c r="AK11" s="164">
        <f>ROUND((AK9*AK10)/100,3)</f>
        <v>0</v>
      </c>
      <c r="AO11" s="170" t="s">
        <v>244</v>
      </c>
      <c r="AP11" s="171">
        <v>1</v>
      </c>
      <c r="AU11" s="172" t="s">
        <v>585</v>
      </c>
      <c r="AV11" s="151">
        <v>1.1000000000000001</v>
      </c>
      <c r="AW11" s="151">
        <v>70</v>
      </c>
      <c r="AX11" s="151">
        <v>70</v>
      </c>
      <c r="AY11" s="151">
        <v>70</v>
      </c>
      <c r="AZ11" s="151">
        <f t="shared" si="0"/>
        <v>70</v>
      </c>
      <c r="BA11" s="151">
        <v>130</v>
      </c>
      <c r="BB11" s="151">
        <v>0</v>
      </c>
      <c r="BD11" s="151" t="s">
        <v>379</v>
      </c>
      <c r="BE11" s="151">
        <v>172</v>
      </c>
      <c r="BF11" s="151">
        <v>34</v>
      </c>
      <c r="BG11" s="151">
        <v>4.05</v>
      </c>
      <c r="BH11" s="151">
        <v>1E-3</v>
      </c>
      <c r="BI11" s="151">
        <v>1.1000000000000001</v>
      </c>
      <c r="BJ11" s="151">
        <v>0</v>
      </c>
      <c r="BK11" s="151">
        <v>18</v>
      </c>
      <c r="BL11" s="151">
        <v>171</v>
      </c>
      <c r="BM11" s="168" t="s">
        <v>423</v>
      </c>
    </row>
    <row r="12" spans="1:65" ht="25.2" customHeight="1">
      <c r="A12" s="30"/>
      <c r="B12" s="198"/>
      <c r="C12" s="196"/>
      <c r="D12" s="197"/>
      <c r="E12" s="91"/>
      <c r="F12" s="251" t="str">
        <f>" Cendres / Matières Minérales (en %)"</f>
        <v xml:space="preserve"> Cendres / Matières Minérales (en %)</v>
      </c>
      <c r="G12" s="252"/>
      <c r="H12" s="253"/>
      <c r="I12" s="16"/>
      <c r="J12" s="108" t="str">
        <f>IF($AC$56=5,IF(AD11=1,IF(I12&gt;0,ROUND((I12*100)/(100-$I$13),2),""),""),"")</f>
        <v/>
      </c>
      <c r="K12" s="16"/>
      <c r="L12" s="110" t="str">
        <f>IF($Z$48=5,IF(AD12=1,IF(K12&gt;0,ROUND((K12*100)/(100-$K$13),2),""),""),"")</f>
        <v/>
      </c>
      <c r="M12" s="87"/>
      <c r="N12" s="36"/>
      <c r="O12" s="87"/>
      <c r="P12" s="87"/>
      <c r="Q12" s="36"/>
      <c r="R12" s="5"/>
      <c r="S12" s="145"/>
      <c r="T12" s="144" t="s">
        <v>169</v>
      </c>
      <c r="U12" s="143"/>
      <c r="V12" s="28"/>
      <c r="W12" s="155"/>
      <c r="Y12" s="164" t="s">
        <v>239</v>
      </c>
      <c r="Z12" s="165">
        <f>IF($Z$48=5,IF($AD$12=1,$AC$14,0),0)</f>
        <v>0</v>
      </c>
      <c r="AA12" s="151"/>
      <c r="AB12" s="158" t="s">
        <v>154</v>
      </c>
      <c r="AC12" s="151">
        <f>IF($Z$48=5,100-$K$9-$K$10-$K$11-$K$12-$K$13,0)</f>
        <v>0</v>
      </c>
      <c r="AD12" s="151">
        <f>IF($AC$12&lt;$AD$10,0,IF($AC$12=100,0,1))</f>
        <v>1</v>
      </c>
      <c r="AF12" s="153">
        <f>IF($Z$21=3,($I$18*($Z$16/($Z$16+$Z$17))),0)</f>
        <v>0</v>
      </c>
      <c r="AG12" s="153">
        <f>IF($Z$21=3,($K$18*($Z$17/($Z$16+$Z$17))),0)</f>
        <v>0</v>
      </c>
      <c r="AH12" s="153" t="s">
        <v>119</v>
      </c>
      <c r="AJ12" s="164" t="s">
        <v>473</v>
      </c>
      <c r="AK12" s="164">
        <f>ROUNDDOWN(AK11-(1.04*$K$9),0)</f>
        <v>0</v>
      </c>
      <c r="AO12" s="170" t="s">
        <v>245</v>
      </c>
      <c r="AP12" s="171">
        <v>1.2</v>
      </c>
      <c r="AU12" s="172" t="s">
        <v>586</v>
      </c>
      <c r="AV12" s="151">
        <v>1.6</v>
      </c>
      <c r="AW12" s="151">
        <v>75</v>
      </c>
      <c r="AX12" s="151">
        <v>75</v>
      </c>
      <c r="AY12" s="151">
        <v>75</v>
      </c>
      <c r="AZ12" s="151">
        <f t="shared" si="0"/>
        <v>75</v>
      </c>
      <c r="BA12" s="151">
        <v>125</v>
      </c>
      <c r="BB12" s="151">
        <v>1</v>
      </c>
      <c r="BD12" s="151" t="s">
        <v>380</v>
      </c>
      <c r="BE12" s="151">
        <v>130</v>
      </c>
      <c r="BF12" s="151">
        <v>21.9</v>
      </c>
      <c r="BG12" s="151">
        <v>4.59</v>
      </c>
      <c r="BH12" s="151">
        <v>0.3</v>
      </c>
      <c r="BI12" s="151">
        <v>1.01</v>
      </c>
      <c r="BJ12" s="151">
        <v>0</v>
      </c>
      <c r="BK12" s="151">
        <v>7</v>
      </c>
      <c r="BL12" s="151">
        <v>184</v>
      </c>
      <c r="BM12" s="168" t="s">
        <v>424</v>
      </c>
    </row>
    <row r="13" spans="1:65" ht="25.2" customHeight="1">
      <c r="A13" s="30"/>
      <c r="B13" s="198"/>
      <c r="C13" s="196"/>
      <c r="D13" s="197"/>
      <c r="E13" s="92"/>
      <c r="F13" s="251" t="s">
        <v>174</v>
      </c>
      <c r="G13" s="252"/>
      <c r="H13" s="253"/>
      <c r="I13" s="16"/>
      <c r="J13" s="108"/>
      <c r="K13" s="16"/>
      <c r="L13" s="110"/>
      <c r="M13" s="86"/>
      <c r="N13" s="35"/>
      <c r="O13" s="86"/>
      <c r="P13" s="86"/>
      <c r="Q13" s="35"/>
      <c r="R13" s="5"/>
      <c r="S13" s="145"/>
      <c r="T13" s="144" t="s">
        <v>170</v>
      </c>
      <c r="U13" s="143"/>
      <c r="V13" s="28"/>
      <c r="W13" s="154"/>
      <c r="Y13" s="173" t="s">
        <v>522</v>
      </c>
      <c r="Z13" s="153">
        <f>IF($Z$21=3,$AF$84,0)</f>
        <v>0</v>
      </c>
      <c r="AA13" s="151"/>
      <c r="AB13" s="158" t="s">
        <v>172</v>
      </c>
      <c r="AC13" s="151">
        <f>IF($AC$11&lt;0,IF($AC$11&gt;$AD$10-1,0,"ERREUR"),$AC$11)</f>
        <v>0</v>
      </c>
      <c r="AD13" s="151"/>
      <c r="AF13" s="153">
        <f>IF($Z$21=3,($I$19*($Z$16/($Z$16+$Z$17))),0)</f>
        <v>0</v>
      </c>
      <c r="AG13" s="153">
        <f>IF($Z$21=3,($K$19*($Z$17/($Z$16+$Z$17))),0)</f>
        <v>0</v>
      </c>
      <c r="AH13" s="153" t="s">
        <v>120</v>
      </c>
      <c r="AO13" s="170" t="s">
        <v>2</v>
      </c>
      <c r="AP13" s="171">
        <v>1</v>
      </c>
      <c r="AU13" s="172" t="s">
        <v>587</v>
      </c>
      <c r="AV13" s="151">
        <v>1.4</v>
      </c>
      <c r="AW13" s="151">
        <v>75</v>
      </c>
      <c r="AX13" s="151">
        <v>75</v>
      </c>
      <c r="AY13" s="151">
        <v>75</v>
      </c>
      <c r="AZ13" s="151">
        <f t="shared" si="0"/>
        <v>75</v>
      </c>
      <c r="BA13" s="151">
        <v>125</v>
      </c>
      <c r="BB13" s="151">
        <v>0</v>
      </c>
      <c r="BD13" s="151" t="s">
        <v>381</v>
      </c>
      <c r="BE13" s="151">
        <v>155</v>
      </c>
      <c r="BF13" s="151">
        <v>25.5</v>
      </c>
      <c r="BG13" s="151">
        <v>5.85</v>
      </c>
      <c r="BH13" s="151">
        <v>0</v>
      </c>
      <c r="BI13" s="151">
        <v>1.22</v>
      </c>
      <c r="BJ13" s="151">
        <v>0</v>
      </c>
      <c r="BK13" s="151">
        <v>7</v>
      </c>
      <c r="BL13" s="151">
        <v>180</v>
      </c>
      <c r="BM13" s="168" t="s">
        <v>425</v>
      </c>
    </row>
    <row r="14" spans="1:65" ht="25.2" customHeight="1">
      <c r="A14" s="30"/>
      <c r="B14" s="56"/>
      <c r="C14" s="20"/>
      <c r="D14" s="57"/>
      <c r="E14" s="92"/>
      <c r="F14" s="251" t="str">
        <f>" ENA  / Glucides assimilables et fermensticibles (en %)"</f>
        <v xml:space="preserve"> ENA  / Glucides assimilables et fermensticibles (en %)</v>
      </c>
      <c r="G14" s="252"/>
      <c r="H14" s="253"/>
      <c r="I14" s="17">
        <f>IF($AC$56=5,IF($AD$11=1,$AC$13,"ERREUR"),0)</f>
        <v>0</v>
      </c>
      <c r="J14" s="108" t="str">
        <f>IF($AC$56=5,IF(AD11=1,IF(Z11&gt;0,ROUND((Z11*100)/(100-$I$13),2),0),""),"")</f>
        <v/>
      </c>
      <c r="K14" s="17">
        <f>IF($Z$48=5,IF($AD$12=1,$AC$14,"ERREUR"),0)</f>
        <v>0</v>
      </c>
      <c r="L14" s="110" t="str">
        <f>IF($Z$48=5,IF(AD12=1,IF(Z12&gt;0,ROUND((Z12*100)/(100-$K$13),2),0),""),"")</f>
        <v/>
      </c>
      <c r="M14" s="86"/>
      <c r="N14" s="35"/>
      <c r="O14" s="86"/>
      <c r="P14" s="86"/>
      <c r="Q14" s="35"/>
      <c r="R14" s="5"/>
      <c r="S14" s="145"/>
      <c r="T14" s="144" t="s">
        <v>557</v>
      </c>
      <c r="U14" s="143"/>
      <c r="V14" s="28"/>
      <c r="W14" s="154"/>
      <c r="Y14" s="173" t="s">
        <v>523</v>
      </c>
      <c r="Z14" s="153">
        <f>IF($Z$21=3,$AG$84,0)</f>
        <v>0</v>
      </c>
      <c r="AA14" s="160"/>
      <c r="AB14" s="158" t="s">
        <v>173</v>
      </c>
      <c r="AC14" s="151">
        <f>IF($AC$12&lt;0,IF($AC$12&gt;$AD$10-1,0,"ERREUR"),$AC$12)</f>
        <v>0</v>
      </c>
      <c r="AD14" s="151"/>
      <c r="AF14" s="153" t="s">
        <v>158</v>
      </c>
      <c r="AG14" s="153"/>
      <c r="AH14" s="153"/>
      <c r="AO14" s="170" t="s">
        <v>86</v>
      </c>
      <c r="AP14" s="171">
        <v>1.2</v>
      </c>
      <c r="AU14" s="172" t="s">
        <v>95</v>
      </c>
      <c r="AV14" s="151">
        <v>1.2</v>
      </c>
      <c r="AW14" s="151">
        <v>70</v>
      </c>
      <c r="AX14" s="151">
        <v>70</v>
      </c>
      <c r="AY14" s="151">
        <v>70</v>
      </c>
      <c r="AZ14" s="151">
        <f t="shared" si="0"/>
        <v>70</v>
      </c>
      <c r="BA14" s="151">
        <v>130</v>
      </c>
      <c r="BB14" s="151">
        <v>0</v>
      </c>
      <c r="BD14" s="151" t="s">
        <v>382</v>
      </c>
      <c r="BE14" s="151">
        <v>209</v>
      </c>
      <c r="BF14" s="151">
        <v>20.2</v>
      </c>
      <c r="BG14" s="151">
        <v>14.1</v>
      </c>
      <c r="BH14" s="151">
        <v>0</v>
      </c>
      <c r="BI14" s="151">
        <v>0.89</v>
      </c>
      <c r="BJ14" s="151">
        <v>0</v>
      </c>
      <c r="BK14" s="151">
        <v>9.33</v>
      </c>
      <c r="BL14" s="151">
        <v>171</v>
      </c>
      <c r="BM14" s="168" t="s">
        <v>426</v>
      </c>
    </row>
    <row r="15" spans="1:65" ht="25.2" customHeight="1">
      <c r="A15" s="30"/>
      <c r="B15" s="58" t="s">
        <v>175</v>
      </c>
      <c r="C15" s="15"/>
      <c r="D15" s="59" t="s">
        <v>176</v>
      </c>
      <c r="E15" s="92"/>
      <c r="F15" s="218" t="str">
        <f>IF($Z$59=1," Energie Métabolisable ATWATER (kcal/100g)","")</f>
        <v/>
      </c>
      <c r="G15" s="313"/>
      <c r="H15" s="314"/>
      <c r="I15" s="18">
        <f>IF($AC$56=5,IF($AD$11=1,$AF$5,0),0)</f>
        <v>0</v>
      </c>
      <c r="J15" s="108"/>
      <c r="K15" s="18">
        <f>IF($Z$48=5,IF($AD$12=1,$AG$5,0),0)</f>
        <v>0</v>
      </c>
      <c r="L15" s="110"/>
      <c r="M15" s="87"/>
      <c r="N15" s="36"/>
      <c r="O15" s="87"/>
      <c r="P15" s="87"/>
      <c r="Q15" s="36"/>
      <c r="R15" s="5"/>
      <c r="S15" s="145"/>
      <c r="T15" s="144" t="s">
        <v>558</v>
      </c>
      <c r="U15" s="143"/>
      <c r="V15" s="28"/>
      <c r="W15" s="155"/>
      <c r="X15" s="152"/>
      <c r="Y15" s="152" t="s">
        <v>537</v>
      </c>
      <c r="Z15" s="153"/>
      <c r="AA15" s="160"/>
      <c r="AB15" s="158"/>
      <c r="AC15" s="151"/>
      <c r="AD15" s="151"/>
      <c r="AF15" s="153" t="s">
        <v>159</v>
      </c>
      <c r="AG15" s="153">
        <f>IF($L$23=100,AF12,IF($L$23=0,AG12,AF12+AG12))</f>
        <v>0</v>
      </c>
      <c r="AH15" s="153" t="s">
        <v>119</v>
      </c>
      <c r="AJ15" s="164" t="s">
        <v>553</v>
      </c>
      <c r="AO15" s="170" t="s">
        <v>3</v>
      </c>
      <c r="AP15" s="171">
        <v>1</v>
      </c>
      <c r="AU15" s="172" t="s">
        <v>96</v>
      </c>
      <c r="AV15" s="151">
        <v>1.1000000000000001</v>
      </c>
      <c r="AW15" s="151">
        <v>70</v>
      </c>
      <c r="AX15" s="151">
        <v>70</v>
      </c>
      <c r="AY15" s="151">
        <v>70</v>
      </c>
      <c r="AZ15" s="151">
        <f t="shared" si="0"/>
        <v>70</v>
      </c>
      <c r="BA15" s="151">
        <v>140</v>
      </c>
      <c r="BB15" s="151">
        <v>0</v>
      </c>
      <c r="BD15" s="151" t="s">
        <v>383</v>
      </c>
      <c r="BE15" s="151">
        <v>239</v>
      </c>
      <c r="BF15" s="151">
        <v>23.6</v>
      </c>
      <c r="BG15" s="151">
        <v>16.100000000000001</v>
      </c>
      <c r="BH15" s="151">
        <v>0</v>
      </c>
      <c r="BI15" s="151">
        <v>1.1599999999999999</v>
      </c>
      <c r="BJ15" s="151">
        <v>0</v>
      </c>
      <c r="BK15" s="151">
        <v>15</v>
      </c>
      <c r="BL15" s="151">
        <v>195</v>
      </c>
      <c r="BM15" s="168" t="s">
        <v>427</v>
      </c>
    </row>
    <row r="16" spans="1:65" ht="25.2" customHeight="1">
      <c r="A16" s="30"/>
      <c r="B16" s="309" t="s">
        <v>494</v>
      </c>
      <c r="C16" s="310"/>
      <c r="D16" s="311"/>
      <c r="E16" s="92"/>
      <c r="F16" s="218" t="str">
        <f>IF($Z$59=1," Energie Métabolisable NRC 2006 (kcal/100g)","")</f>
        <v/>
      </c>
      <c r="G16" s="313"/>
      <c r="H16" s="314"/>
      <c r="I16" s="18">
        <f>IF($AC$56=5,IF($AD$11=1,$AK$6,0),0)</f>
        <v>0</v>
      </c>
      <c r="J16" s="108" t="str">
        <f>IF($AC$56=5,IF(AD11=1,"RPC : "&amp;ROUND($AF$7,1),""),"")</f>
        <v/>
      </c>
      <c r="K16" s="18">
        <f>IF($Z$48=5,IF($AD$12=1,$AK$12,0),0)</f>
        <v>0</v>
      </c>
      <c r="L16" s="110" t="str">
        <f>IF($Z$48=5,IF(AD12=1,"RPC : "&amp;ROUND($AG$7,1),""),"")</f>
        <v/>
      </c>
      <c r="M16" s="86"/>
      <c r="N16" s="35"/>
      <c r="O16" s="86"/>
      <c r="P16" s="86"/>
      <c r="Q16" s="35"/>
      <c r="R16" s="5"/>
      <c r="S16" s="145"/>
      <c r="T16" s="142"/>
      <c r="U16" s="143"/>
      <c r="V16" s="28"/>
      <c r="W16" s="154"/>
      <c r="Y16" s="173" t="s">
        <v>535</v>
      </c>
      <c r="Z16" s="153">
        <f>IF($H$23=$X$10,$AA6,$Z6)</f>
        <v>0</v>
      </c>
      <c r="AA16" s="160"/>
      <c r="AB16" s="158" t="s">
        <v>195</v>
      </c>
      <c r="AC16" s="151">
        <f>IF($Z$21=3,ROUNDUP($AA$84,0),0)</f>
        <v>0</v>
      </c>
      <c r="AD16" s="151"/>
      <c r="AF16" s="153"/>
      <c r="AG16" s="153">
        <f>IF($L$23=100,AF13,IF($L$23=0,AG13,AF13+AG13))</f>
        <v>0</v>
      </c>
      <c r="AH16" s="153" t="s">
        <v>120</v>
      </c>
      <c r="AJ16" s="151" t="str">
        <f>IF($C$20&lt;&gt;"",VLOOKUP($C$20,$AU$4:$BB$27,8,0),"")</f>
        <v/>
      </c>
      <c r="AK16" s="168" t="s">
        <v>554</v>
      </c>
      <c r="AO16" s="170" t="s">
        <v>246</v>
      </c>
      <c r="AP16" s="171">
        <v>1</v>
      </c>
      <c r="AU16" s="172" t="s">
        <v>97</v>
      </c>
      <c r="AV16" s="151">
        <v>1.6</v>
      </c>
      <c r="AW16" s="151">
        <v>80</v>
      </c>
      <c r="AX16" s="151">
        <v>80</v>
      </c>
      <c r="AY16" s="151">
        <v>80</v>
      </c>
      <c r="AZ16" s="151">
        <f t="shared" ref="AZ16:AZ27" si="1">IF($C$15&lt;10,AW16,IF($C$15&lt;25,AX16,IF($C$15&gt;24.99999999999,AY16)))</f>
        <v>80</v>
      </c>
      <c r="BA16" s="151">
        <v>125</v>
      </c>
      <c r="BB16" s="151">
        <v>1</v>
      </c>
      <c r="BD16" s="151" t="s">
        <v>384</v>
      </c>
      <c r="BE16" s="151">
        <v>126</v>
      </c>
      <c r="BF16" s="151">
        <v>19.399999999999999</v>
      </c>
      <c r="BG16" s="151">
        <v>5.33</v>
      </c>
      <c r="BH16" s="151">
        <v>0</v>
      </c>
      <c r="BI16" s="151">
        <v>1.1599999999999999</v>
      </c>
      <c r="BJ16" s="151">
        <v>0</v>
      </c>
      <c r="BK16" s="151">
        <v>9</v>
      </c>
      <c r="BL16" s="151">
        <v>199</v>
      </c>
      <c r="BM16" s="168" t="s">
        <v>428</v>
      </c>
    </row>
    <row r="17" spans="1:65" ht="15.05" customHeight="1" thickBot="1">
      <c r="A17" s="30"/>
      <c r="B17" s="312"/>
      <c r="C17" s="310"/>
      <c r="D17" s="311"/>
      <c r="E17" s="92"/>
      <c r="F17" s="251"/>
      <c r="G17" s="264"/>
      <c r="H17" s="265"/>
      <c r="I17" s="17"/>
      <c r="J17" s="108"/>
      <c r="K17" s="19"/>
      <c r="L17" s="110"/>
      <c r="M17" s="88"/>
      <c r="N17" s="37"/>
      <c r="O17" s="88"/>
      <c r="P17" s="88"/>
      <c r="Q17" s="37"/>
      <c r="R17" s="5"/>
      <c r="S17" s="147"/>
      <c r="T17" s="148"/>
      <c r="U17" s="149"/>
      <c r="V17" s="28"/>
      <c r="W17" s="156"/>
      <c r="Y17" s="173" t="s">
        <v>536</v>
      </c>
      <c r="Z17" s="153">
        <f>IF($H$23=$X$10,$AA7,$Z7)</f>
        <v>0</v>
      </c>
      <c r="AB17" s="158"/>
      <c r="AC17" s="151"/>
      <c r="AD17" s="151"/>
      <c r="AF17" s="153" t="s">
        <v>160</v>
      </c>
      <c r="AG17" s="153"/>
      <c r="AH17" s="153"/>
      <c r="AJ17" s="168"/>
      <c r="AK17" s="168" t="s">
        <v>555</v>
      </c>
      <c r="AO17" s="170" t="s">
        <v>247</v>
      </c>
      <c r="AP17" s="171">
        <v>1</v>
      </c>
      <c r="AU17" s="172" t="s">
        <v>588</v>
      </c>
      <c r="AV17" s="151">
        <v>1.4</v>
      </c>
      <c r="AW17" s="151">
        <v>80</v>
      </c>
      <c r="AX17" s="151">
        <v>80</v>
      </c>
      <c r="AY17" s="151">
        <v>80</v>
      </c>
      <c r="AZ17" s="151">
        <f t="shared" si="1"/>
        <v>80</v>
      </c>
      <c r="BA17" s="151">
        <v>125</v>
      </c>
      <c r="BB17" s="151">
        <v>0</v>
      </c>
      <c r="BD17" s="151" t="s">
        <v>385</v>
      </c>
      <c r="BE17" s="151">
        <v>194</v>
      </c>
      <c r="BF17" s="151">
        <v>23.3</v>
      </c>
      <c r="BG17" s="151">
        <v>11.2</v>
      </c>
      <c r="BH17" s="151">
        <v>0</v>
      </c>
      <c r="BI17" s="151">
        <v>1.24</v>
      </c>
      <c r="BJ17" s="151">
        <v>0</v>
      </c>
      <c r="BK17" s="151">
        <v>6.78</v>
      </c>
      <c r="BL17" s="151">
        <v>203</v>
      </c>
      <c r="BM17" s="168" t="s">
        <v>429</v>
      </c>
    </row>
    <row r="18" spans="1:65" ht="25.2" customHeight="1">
      <c r="A18" s="30"/>
      <c r="B18" s="312"/>
      <c r="C18" s="310"/>
      <c r="D18" s="311"/>
      <c r="E18" s="92"/>
      <c r="F18" s="251" t="str">
        <f>" Calcium (en %, si disponible)"</f>
        <v xml:space="preserve"> Calcium (en %, si disponible)</v>
      </c>
      <c r="G18" s="264"/>
      <c r="H18" s="265"/>
      <c r="I18" s="16"/>
      <c r="J18" s="108" t="str">
        <f>IF($AC$56=5,IF(AD11=1,IF(I18&gt;0,ROUND((I18*100)/(100-$I$13),2),""),""),"")</f>
        <v/>
      </c>
      <c r="K18" s="16"/>
      <c r="L18" s="110" t="str">
        <f>IF($Z$48=5,IF(AD12=1,IF(K18&gt;0,ROUND((K18*100)/(100-$K$13),2),""),""),"")</f>
        <v/>
      </c>
      <c r="M18" s="87"/>
      <c r="N18" s="36"/>
      <c r="O18" s="87"/>
      <c r="P18" s="87"/>
      <c r="Q18" s="36"/>
      <c r="R18" s="5"/>
      <c r="S18" s="4"/>
      <c r="T18" s="4"/>
      <c r="U18" s="4"/>
      <c r="V18" s="28"/>
      <c r="W18" s="157"/>
      <c r="Y18" s="151"/>
      <c r="AB18" s="158"/>
      <c r="AC18" s="151"/>
      <c r="AD18" s="151"/>
      <c r="AF18" s="153" t="s">
        <v>161</v>
      </c>
      <c r="AG18" s="153">
        <f>IF($L$23=100,$X$40+1,IF($L$23=0,$X$49+1,$X$40+$X$49))</f>
        <v>1</v>
      </c>
      <c r="AH18" s="153" t="s">
        <v>119</v>
      </c>
      <c r="AO18" s="170" t="s">
        <v>248</v>
      </c>
      <c r="AP18" s="171">
        <v>1</v>
      </c>
      <c r="AR18" s="242" t="s">
        <v>94</v>
      </c>
      <c r="AS18" s="242"/>
      <c r="AU18" s="172" t="s">
        <v>589</v>
      </c>
      <c r="AV18" s="151">
        <v>1.2</v>
      </c>
      <c r="AW18" s="151">
        <v>75</v>
      </c>
      <c r="AX18" s="151">
        <v>75</v>
      </c>
      <c r="AY18" s="151">
        <v>75</v>
      </c>
      <c r="AZ18" s="151">
        <f t="shared" si="1"/>
        <v>75</v>
      </c>
      <c r="BA18" s="151">
        <v>130</v>
      </c>
      <c r="BB18" s="151">
        <v>0</v>
      </c>
      <c r="BD18" s="151" t="s">
        <v>386</v>
      </c>
      <c r="BE18" s="151">
        <v>121</v>
      </c>
      <c r="BF18" s="151">
        <v>22.2</v>
      </c>
      <c r="BG18" s="151">
        <v>3.58</v>
      </c>
      <c r="BH18" s="151">
        <v>1E-3</v>
      </c>
      <c r="BI18" s="151">
        <v>1</v>
      </c>
      <c r="BJ18" s="151">
        <v>0</v>
      </c>
      <c r="BK18" s="151">
        <v>9</v>
      </c>
      <c r="BL18" s="151">
        <v>170</v>
      </c>
      <c r="BM18" s="168" t="s">
        <v>430</v>
      </c>
    </row>
    <row r="19" spans="1:65" ht="25.2" customHeight="1">
      <c r="A19" s="30"/>
      <c r="B19" s="60" t="s">
        <v>177</v>
      </c>
      <c r="C19" s="256"/>
      <c r="D19" s="257"/>
      <c r="E19" s="93" t="str">
        <f>IF($C$19&lt;&gt;"",VLOOKUP($C$19,$AO$4:$AP$204,2,0),"")</f>
        <v/>
      </c>
      <c r="F19" s="251" t="str">
        <f>" Phosphore (en %, si disponible)"</f>
        <v xml:space="preserve"> Phosphore (en %, si disponible)</v>
      </c>
      <c r="G19" s="264"/>
      <c r="H19" s="265"/>
      <c r="I19" s="16"/>
      <c r="J19" s="108" t="str">
        <f>IF($AC$56=5,IF(AD11=1,IF(I19&gt;0,ROUND((I19*100)/(100-$I$13),2),""),""),"")</f>
        <v/>
      </c>
      <c r="K19" s="16"/>
      <c r="L19" s="110" t="str">
        <f>IF($Z$48=5,IF(AD12=1,IF(K19&gt;0,ROUND((K19*100)/(100-$K$13),2),""),""),"")</f>
        <v/>
      </c>
      <c r="M19" s="86"/>
      <c r="N19" s="35"/>
      <c r="O19" s="86"/>
      <c r="P19" s="86"/>
      <c r="Q19" s="35"/>
      <c r="R19" s="5"/>
      <c r="S19" s="5"/>
      <c r="T19" s="5"/>
      <c r="U19" s="5"/>
      <c r="V19" s="28"/>
      <c r="W19" s="154"/>
      <c r="Y19" s="175"/>
      <c r="Z19" s="175"/>
      <c r="AB19" s="158"/>
      <c r="AC19" s="151"/>
      <c r="AD19" s="151"/>
      <c r="AF19" s="153"/>
      <c r="AG19" s="153">
        <f>IF($L$23=100,$X$41+1,IF($L$23=0,$X$50+1,$X$41+$X$50))</f>
        <v>1</v>
      </c>
      <c r="AH19" s="153" t="s">
        <v>120</v>
      </c>
      <c r="AO19" s="170" t="s">
        <v>249</v>
      </c>
      <c r="AP19" s="171">
        <v>0.9</v>
      </c>
      <c r="AR19" s="168" t="s">
        <v>67</v>
      </c>
      <c r="AS19" s="151">
        <v>1</v>
      </c>
      <c r="AU19" s="172" t="s">
        <v>98</v>
      </c>
      <c r="AV19" s="151">
        <v>1.1000000000000001</v>
      </c>
      <c r="AW19" s="151">
        <v>75</v>
      </c>
      <c r="AX19" s="151">
        <v>75</v>
      </c>
      <c r="AY19" s="151">
        <v>75</v>
      </c>
      <c r="AZ19" s="151">
        <f t="shared" si="1"/>
        <v>75</v>
      </c>
      <c r="BA19" s="151">
        <v>140</v>
      </c>
      <c r="BB19" s="151">
        <v>0</v>
      </c>
      <c r="BD19" s="151" t="s">
        <v>387</v>
      </c>
      <c r="BE19" s="151">
        <v>163</v>
      </c>
      <c r="BF19" s="151">
        <v>26.6</v>
      </c>
      <c r="BG19" s="151">
        <v>6.27</v>
      </c>
      <c r="BH19" s="151">
        <v>1E-3</v>
      </c>
      <c r="BI19" s="151">
        <v>1</v>
      </c>
      <c r="BJ19" s="151">
        <v>0</v>
      </c>
      <c r="BK19" s="151">
        <v>10</v>
      </c>
      <c r="BL19" s="151">
        <v>185</v>
      </c>
      <c r="BM19" s="168" t="s">
        <v>431</v>
      </c>
    </row>
    <row r="20" spans="1:65" ht="25.2" customHeight="1">
      <c r="A20" s="30"/>
      <c r="B20" s="60" t="s">
        <v>179</v>
      </c>
      <c r="C20" s="256"/>
      <c r="D20" s="322"/>
      <c r="E20" s="93" t="str">
        <f>IF($AJ$16=1,1,IF($C$21&lt;&gt;"",VLOOKUP($C$21,$AR$4:$AS$9,2,0),""))</f>
        <v/>
      </c>
      <c r="F20" s="261" t="str">
        <f>IF($AC$59=1," Ratio entre le Calcium et le Phosphore","")</f>
        <v/>
      </c>
      <c r="G20" s="262"/>
      <c r="H20" s="263"/>
      <c r="I20" s="24" t="str">
        <f>IF($AC$56=5,IF(AD11=1,IF($Z$42=2,$Z$9,0),""),"")</f>
        <v/>
      </c>
      <c r="J20" s="109" t="str">
        <f>IF($AC$56=5,IF($I$19&gt;0,"RPP : "&amp;$Z$3,""),"")</f>
        <v/>
      </c>
      <c r="K20" s="24" t="str">
        <f>IF($Z$48=5,IF(AD12=1,IF($Z$51=2,$Z$10,0),""),"")</f>
        <v/>
      </c>
      <c r="L20" s="111" t="str">
        <f>IF($Z$48=5,IF($K$19&gt;0,"RPP : "&amp;$Z$4,""),"")</f>
        <v/>
      </c>
      <c r="M20" s="88"/>
      <c r="N20" s="35"/>
      <c r="O20" s="88"/>
      <c r="P20" s="88"/>
      <c r="Q20" s="37"/>
      <c r="R20" s="3"/>
      <c r="S20" s="3"/>
      <c r="T20" s="3"/>
      <c r="U20" s="3"/>
      <c r="V20" s="3"/>
      <c r="W20" s="154"/>
      <c r="Y20" s="151"/>
      <c r="Z20" s="151" t="s">
        <v>137</v>
      </c>
      <c r="AA20" s="159" t="s">
        <v>136</v>
      </c>
      <c r="AB20" s="158" t="s">
        <v>132</v>
      </c>
      <c r="AC20" s="176"/>
      <c r="AD20" s="151"/>
      <c r="AO20" s="170" t="s">
        <v>4</v>
      </c>
      <c r="AP20" s="171">
        <v>0.9</v>
      </c>
      <c r="AR20" s="168" t="s">
        <v>91</v>
      </c>
      <c r="AS20" s="151">
        <v>1</v>
      </c>
      <c r="AU20" s="172" t="s">
        <v>99</v>
      </c>
      <c r="AV20" s="151">
        <v>1.7</v>
      </c>
      <c r="AW20" s="151">
        <v>80</v>
      </c>
      <c r="AX20" s="151">
        <v>80</v>
      </c>
      <c r="AY20" s="151">
        <v>80</v>
      </c>
      <c r="AZ20" s="151">
        <f t="shared" si="1"/>
        <v>80</v>
      </c>
      <c r="BA20" s="151">
        <v>125</v>
      </c>
      <c r="BB20" s="151">
        <v>1</v>
      </c>
      <c r="BD20" s="151" t="s">
        <v>388</v>
      </c>
      <c r="BE20" s="151">
        <v>109</v>
      </c>
      <c r="BF20" s="151">
        <v>24.1</v>
      </c>
      <c r="BG20" s="151">
        <v>1.22</v>
      </c>
      <c r="BH20" s="151">
        <v>0.51</v>
      </c>
      <c r="BI20" s="151">
        <v>1.1399999999999999</v>
      </c>
      <c r="BJ20" s="151">
        <v>0</v>
      </c>
      <c r="BK20" s="151">
        <v>16.399999999999999</v>
      </c>
      <c r="BL20" s="151">
        <v>201</v>
      </c>
      <c r="BM20" s="168" t="s">
        <v>432</v>
      </c>
    </row>
    <row r="21" spans="1:65" ht="25.2" customHeight="1">
      <c r="A21" s="30"/>
      <c r="B21" s="60" t="s">
        <v>178</v>
      </c>
      <c r="C21" s="256"/>
      <c r="D21" s="322"/>
      <c r="E21" s="93" t="str">
        <f>IF($C$20&lt;&gt;"",VLOOKUP($C$20,$AU$4:$AV$27,2,0),"")</f>
        <v/>
      </c>
      <c r="F21" s="334" t="str">
        <f>IF($Z$83&lt;0,IF($Z$85&lt;0,$AG$66,$AG$65),"")&amp;"  "</f>
        <v xml:space="preserve">  </v>
      </c>
      <c r="G21" s="335"/>
      <c r="H21" s="335"/>
      <c r="I21" s="335"/>
      <c r="J21" s="335"/>
      <c r="K21" s="335"/>
      <c r="L21" s="336"/>
      <c r="M21" s="86"/>
      <c r="N21" s="35"/>
      <c r="O21" s="86"/>
      <c r="P21" s="86"/>
      <c r="Q21" s="34"/>
      <c r="R21" s="3"/>
      <c r="S21" s="3"/>
      <c r="T21" s="3"/>
      <c r="U21" s="3"/>
      <c r="V21" s="3"/>
      <c r="W21" s="154"/>
      <c r="Y21" s="159" t="s">
        <v>483</v>
      </c>
      <c r="Z21" s="151">
        <f>IF($L$23=100,$AA$21,IF($L$24=100,$AA$22,$AA$23))+$Z$85+$Z$22</f>
        <v>1</v>
      </c>
      <c r="AA21" s="151">
        <f>(1+$Z$54+$Z$56)*$Z$52*AD11</f>
        <v>1</v>
      </c>
      <c r="AB21" s="158" t="s">
        <v>133</v>
      </c>
      <c r="AC21" s="151"/>
      <c r="AD21" s="151"/>
      <c r="AO21" s="170" t="s">
        <v>5</v>
      </c>
      <c r="AP21" s="171">
        <v>1</v>
      </c>
      <c r="AR21" s="168" t="s">
        <v>92</v>
      </c>
      <c r="AS21" s="151">
        <v>1</v>
      </c>
      <c r="AU21" s="172" t="s">
        <v>590</v>
      </c>
      <c r="AV21" s="151">
        <v>1.4</v>
      </c>
      <c r="AW21" s="151">
        <v>80</v>
      </c>
      <c r="AX21" s="151">
        <v>80</v>
      </c>
      <c r="AY21" s="151">
        <v>80</v>
      </c>
      <c r="AZ21" s="151">
        <f t="shared" si="1"/>
        <v>80</v>
      </c>
      <c r="BA21" s="151">
        <v>125</v>
      </c>
      <c r="BB21" s="151">
        <v>0</v>
      </c>
      <c r="BD21" s="151" t="s">
        <v>389</v>
      </c>
      <c r="BE21" s="151">
        <v>124</v>
      </c>
      <c r="BF21" s="151">
        <v>28.5</v>
      </c>
      <c r="BG21" s="151">
        <v>1.0900000000000001</v>
      </c>
      <c r="BH21" s="151">
        <v>0.49</v>
      </c>
      <c r="BI21" s="151">
        <v>1.48</v>
      </c>
      <c r="BJ21" s="151">
        <v>0</v>
      </c>
      <c r="BK21" s="151">
        <v>5.42</v>
      </c>
      <c r="BL21" s="151">
        <v>293</v>
      </c>
      <c r="BM21" s="168" t="s">
        <v>433</v>
      </c>
    </row>
    <row r="22" spans="1:65" ht="25.2" customHeight="1">
      <c r="A22" s="30"/>
      <c r="B22" s="60" t="s">
        <v>180</v>
      </c>
      <c r="C22" s="256"/>
      <c r="D22" s="257"/>
      <c r="E22" s="93" t="str">
        <f>IF($C$22&lt;&gt;"",VLOOKUP($C$22,$AU$41:$AV$43,2,0),"")</f>
        <v/>
      </c>
      <c r="F22" s="254" t="s">
        <v>530</v>
      </c>
      <c r="G22" s="235"/>
      <c r="H22" s="235"/>
      <c r="I22" s="255"/>
      <c r="J22" s="327"/>
      <c r="K22" s="328"/>
      <c r="L22" s="64"/>
      <c r="M22" s="86"/>
      <c r="N22" s="35"/>
      <c r="O22" s="86"/>
      <c r="P22" s="86"/>
      <c r="Q22" s="34"/>
      <c r="R22" s="3"/>
      <c r="S22" s="3"/>
      <c r="T22" s="3"/>
      <c r="U22" s="3"/>
      <c r="V22" s="3"/>
      <c r="W22" s="154"/>
      <c r="Y22" s="151" t="s">
        <v>533</v>
      </c>
      <c r="Z22" s="151">
        <f>IF($H$23&lt;&gt;"",0,-1)</f>
        <v>0</v>
      </c>
      <c r="AA22" s="177">
        <f>(1+$Z$55+$Z$56)*$Z$52*AD12</f>
        <v>1</v>
      </c>
      <c r="AB22" s="158" t="s">
        <v>134</v>
      </c>
      <c r="AC22" s="151"/>
      <c r="AD22" s="151"/>
      <c r="AO22" s="170" t="s">
        <v>250</v>
      </c>
      <c r="AP22" s="171">
        <v>1</v>
      </c>
      <c r="AU22" s="172" t="s">
        <v>591</v>
      </c>
      <c r="AV22" s="151">
        <v>1.2</v>
      </c>
      <c r="AW22" s="151">
        <v>75</v>
      </c>
      <c r="AX22" s="151">
        <v>75</v>
      </c>
      <c r="AY22" s="151">
        <v>75</v>
      </c>
      <c r="AZ22" s="151">
        <f t="shared" si="1"/>
        <v>75</v>
      </c>
      <c r="BA22" s="151">
        <v>130</v>
      </c>
      <c r="BB22" s="151">
        <v>0</v>
      </c>
      <c r="BD22" s="151" t="s">
        <v>390</v>
      </c>
      <c r="BE22" s="151">
        <v>189</v>
      </c>
      <c r="BF22" s="151">
        <v>20.399999999999999</v>
      </c>
      <c r="BG22" s="151">
        <v>11.6</v>
      </c>
      <c r="BH22" s="151">
        <v>0.66</v>
      </c>
      <c r="BI22" s="151">
        <v>0.9</v>
      </c>
      <c r="BJ22" s="151">
        <v>0</v>
      </c>
      <c r="BK22" s="151">
        <v>10.3</v>
      </c>
      <c r="BL22" s="151">
        <v>212</v>
      </c>
      <c r="BM22" s="168" t="s">
        <v>434</v>
      </c>
    </row>
    <row r="23" spans="1:65" ht="25.2" customHeight="1">
      <c r="A23" s="30"/>
      <c r="B23" s="60" t="s">
        <v>181</v>
      </c>
      <c r="C23" s="256"/>
      <c r="D23" s="257"/>
      <c r="E23" s="93" t="str">
        <f>IF($AJ$16=1,1,IF($C$23&lt;&gt;"",VLOOKUP($C$23,$AR$41:$AS$45,2,0),""))</f>
        <v/>
      </c>
      <c r="F23" s="65" t="s">
        <v>526</v>
      </c>
      <c r="G23" s="45"/>
      <c r="H23" s="52" t="s">
        <v>532</v>
      </c>
      <c r="I23" s="45"/>
      <c r="J23" s="45" t="s">
        <v>528</v>
      </c>
      <c r="K23" s="27"/>
      <c r="L23" s="66">
        <v>100</v>
      </c>
      <c r="M23" s="86"/>
      <c r="N23" s="35"/>
      <c r="O23" s="86"/>
      <c r="P23" s="86"/>
      <c r="Q23" s="34"/>
      <c r="R23" s="3"/>
      <c r="S23" s="3"/>
      <c r="T23" s="3"/>
      <c r="U23" s="3"/>
      <c r="V23" s="3"/>
      <c r="W23" s="154"/>
      <c r="Y23" s="178" t="s">
        <v>211</v>
      </c>
      <c r="Z23" s="160">
        <f>IF($L$23=100,1,IF($L$24=100,2,3))</f>
        <v>1</v>
      </c>
      <c r="AA23" s="177">
        <f>($Z$54+$Z$55+$Z$56)*$Z$52*AD11*AD12</f>
        <v>0</v>
      </c>
      <c r="AB23" s="158" t="s">
        <v>135</v>
      </c>
      <c r="AC23" s="151"/>
      <c r="AD23" s="151"/>
      <c r="AO23" s="170" t="s">
        <v>6</v>
      </c>
      <c r="AP23" s="171">
        <v>1</v>
      </c>
      <c r="AU23" s="172" t="s">
        <v>100</v>
      </c>
      <c r="AV23" s="151">
        <v>1.1000000000000001</v>
      </c>
      <c r="AW23" s="151">
        <v>75</v>
      </c>
      <c r="AX23" s="151">
        <v>75</v>
      </c>
      <c r="AY23" s="151">
        <v>75</v>
      </c>
      <c r="AZ23" s="151">
        <f t="shared" si="1"/>
        <v>75</v>
      </c>
      <c r="BA23" s="151">
        <v>140</v>
      </c>
      <c r="BB23" s="151">
        <v>0</v>
      </c>
      <c r="BD23" s="151" t="s">
        <v>391</v>
      </c>
      <c r="BE23" s="151">
        <v>167</v>
      </c>
      <c r="BF23" s="151">
        <v>20.5</v>
      </c>
      <c r="BG23" s="151">
        <v>9.1999999999999993</v>
      </c>
      <c r="BH23" s="151">
        <v>0.5</v>
      </c>
      <c r="BI23" s="151">
        <v>1.1000000000000001</v>
      </c>
      <c r="BJ23" s="151">
        <v>0</v>
      </c>
      <c r="BK23" s="151">
        <v>13.5</v>
      </c>
      <c r="BL23" s="151">
        <v>200</v>
      </c>
      <c r="BM23" s="168" t="s">
        <v>435</v>
      </c>
    </row>
    <row r="24" spans="1:65" ht="25.2" customHeight="1">
      <c r="A24" s="30"/>
      <c r="B24" s="60" t="s">
        <v>182</v>
      </c>
      <c r="C24" s="256"/>
      <c r="D24" s="257"/>
      <c r="E24" s="93" t="str">
        <f>IF($C$24&lt;&gt;"",VLOOKUP($C$24,$AR$28:$AS$32,2,0),"")</f>
        <v/>
      </c>
      <c r="F24" s="67" t="s">
        <v>538</v>
      </c>
      <c r="G24" s="44"/>
      <c r="H24" s="44"/>
      <c r="I24" s="44"/>
      <c r="J24" s="44" t="s">
        <v>529</v>
      </c>
      <c r="K24" s="44"/>
      <c r="L24" s="68">
        <f>IF($Z$53&gt;0,100-$L$23,0)</f>
        <v>0</v>
      </c>
      <c r="M24" s="86"/>
      <c r="N24" s="35"/>
      <c r="O24" s="86"/>
      <c r="P24" s="86"/>
      <c r="Q24" s="34"/>
      <c r="R24" s="3"/>
      <c r="S24" s="3"/>
      <c r="T24" s="3"/>
      <c r="U24" s="3"/>
      <c r="V24" s="3"/>
      <c r="W24" s="154"/>
      <c r="Y24" s="168" t="s">
        <v>209</v>
      </c>
      <c r="Z24" s="168" t="str">
        <f>IF($Z$23=1,IF($AA21&lt;3,"Les données indiquées pour les croquettes sont incomplètes ou erronées",""),"")</f>
        <v>Les données indiquées pour les croquettes sont incomplètes ou erronées</v>
      </c>
      <c r="AB24" s="243"/>
      <c r="AC24" s="243"/>
      <c r="AD24" s="151"/>
      <c r="AF24" s="151" t="s">
        <v>155</v>
      </c>
      <c r="AO24" s="170" t="s">
        <v>7</v>
      </c>
      <c r="AP24" s="171">
        <v>1</v>
      </c>
      <c r="AU24" s="172" t="s">
        <v>75</v>
      </c>
      <c r="AV24" s="151">
        <v>1.1000000000000001</v>
      </c>
      <c r="AW24" s="151">
        <v>65</v>
      </c>
      <c r="AX24" s="151">
        <v>65</v>
      </c>
      <c r="AY24" s="151">
        <v>65</v>
      </c>
      <c r="AZ24" s="151">
        <f t="shared" si="1"/>
        <v>65</v>
      </c>
      <c r="BA24" s="151">
        <v>1</v>
      </c>
      <c r="BB24" s="151">
        <v>0</v>
      </c>
      <c r="BD24" s="151" t="s">
        <v>392</v>
      </c>
      <c r="BE24" s="151">
        <v>198</v>
      </c>
      <c r="BF24" s="151">
        <v>18</v>
      </c>
      <c r="BG24" s="151">
        <v>14</v>
      </c>
      <c r="BH24" s="151">
        <v>0.1</v>
      </c>
      <c r="BI24" s="151">
        <v>1</v>
      </c>
      <c r="BJ24" s="151">
        <v>0</v>
      </c>
      <c r="BK24" s="151">
        <v>5</v>
      </c>
      <c r="BL24" s="151">
        <v>148</v>
      </c>
      <c r="BM24" s="168" t="s">
        <v>436</v>
      </c>
    </row>
    <row r="25" spans="1:65" ht="25.2" customHeight="1">
      <c r="A25" s="30"/>
      <c r="B25" s="58" t="s">
        <v>183</v>
      </c>
      <c r="C25" s="256"/>
      <c r="D25" s="257"/>
      <c r="E25" s="93" t="str">
        <f>IF($C$25&lt;&gt;"",VLOOKUP($C$25,$AR$19:$AS$21,2,0),"")</f>
        <v/>
      </c>
      <c r="F25" s="297" t="str">
        <f>IF($Z59&gt;0,IF($AC$55=8,IF($L$23&lt;&gt;"",$Z$29,""),""),"")</f>
        <v/>
      </c>
      <c r="G25" s="298"/>
      <c r="H25" s="298"/>
      <c r="I25" s="298"/>
      <c r="J25" s="298"/>
      <c r="K25" s="298"/>
      <c r="L25" s="299"/>
      <c r="M25" s="86"/>
      <c r="N25" s="35"/>
      <c r="O25" s="86"/>
      <c r="P25" s="86"/>
      <c r="Q25" s="34"/>
      <c r="R25" s="3"/>
      <c r="S25" s="3"/>
      <c r="T25" s="3"/>
      <c r="U25" s="3"/>
      <c r="V25" s="3"/>
      <c r="W25" s="154"/>
      <c r="Y25" s="168" t="s">
        <v>210</v>
      </c>
      <c r="Z25" s="168" t="str">
        <f>IF($Z$23=2,IF($AA22&lt;3,"Les données indiquées pour la pâtée sont incomplètes ou erronées",""),"")</f>
        <v/>
      </c>
      <c r="AB25" s="296" t="s">
        <v>212</v>
      </c>
      <c r="AC25" s="296"/>
      <c r="AD25" s="151"/>
      <c r="AF25" s="180" t="s">
        <v>515</v>
      </c>
      <c r="AG25" s="181"/>
      <c r="AH25" s="181"/>
      <c r="AI25" s="181"/>
      <c r="AJ25" s="181"/>
      <c r="AK25" s="181"/>
      <c r="AL25" s="182"/>
      <c r="AO25" s="170" t="s">
        <v>251</v>
      </c>
      <c r="AP25" s="171">
        <v>1</v>
      </c>
      <c r="AU25" s="172" t="s">
        <v>76</v>
      </c>
      <c r="AV25" s="151">
        <v>1.3</v>
      </c>
      <c r="AW25" s="151">
        <v>65</v>
      </c>
      <c r="AX25" s="151">
        <v>65</v>
      </c>
      <c r="AY25" s="151">
        <v>65</v>
      </c>
      <c r="AZ25" s="151">
        <f t="shared" si="1"/>
        <v>65</v>
      </c>
      <c r="BA25" s="151">
        <v>1</v>
      </c>
      <c r="BB25" s="151">
        <v>0</v>
      </c>
      <c r="BD25" s="151" t="s">
        <v>393</v>
      </c>
      <c r="BE25" s="151">
        <v>178</v>
      </c>
      <c r="BF25" s="151">
        <v>18.899999999999999</v>
      </c>
      <c r="BG25" s="151">
        <v>11.2</v>
      </c>
      <c r="BH25" s="151">
        <v>0.38</v>
      </c>
      <c r="BI25" s="151">
        <v>0.92</v>
      </c>
      <c r="BJ25" s="151">
        <v>0</v>
      </c>
      <c r="BK25" s="151">
        <v>10.7</v>
      </c>
      <c r="BL25" s="151">
        <v>191</v>
      </c>
      <c r="BM25" s="168" t="s">
        <v>437</v>
      </c>
    </row>
    <row r="26" spans="1:65" ht="18" customHeight="1">
      <c r="A26" s="30"/>
      <c r="B26" s="323"/>
      <c r="C26" s="324"/>
      <c r="D26" s="325"/>
      <c r="E26" s="94"/>
      <c r="F26" s="48"/>
      <c r="G26" s="49"/>
      <c r="H26" s="49"/>
      <c r="I26" s="49"/>
      <c r="J26" s="49"/>
      <c r="K26" s="49"/>
      <c r="L26" s="50"/>
      <c r="M26" s="86"/>
      <c r="N26" s="35"/>
      <c r="O26" s="86"/>
      <c r="P26" s="86"/>
      <c r="Q26" s="34"/>
      <c r="R26" s="3"/>
      <c r="S26" s="3"/>
      <c r="T26" s="3"/>
      <c r="U26" s="3"/>
      <c r="V26" s="3"/>
      <c r="W26" s="154"/>
      <c r="Y26" s="168" t="s">
        <v>213</v>
      </c>
      <c r="Z26" s="168" t="str">
        <f>IF($AB$26&gt;0,IF($AA$21&lt;3,IF($AA$22=3,"Les données indiquées pour les croquettes sont incomplètes ou erronées",""),""),"")</f>
        <v/>
      </c>
      <c r="AB26" s="296">
        <f>IF($Z$23=3,IF($AA23&lt;3,1,0),0)</f>
        <v>0</v>
      </c>
      <c r="AC26" s="296"/>
      <c r="AD26" s="151"/>
      <c r="AF26" s="181" t="s">
        <v>595</v>
      </c>
      <c r="AG26" s="181"/>
      <c r="AH26" s="181"/>
      <c r="AI26" s="181"/>
      <c r="AJ26" s="181"/>
      <c r="AK26" s="181"/>
      <c r="AL26" s="182"/>
      <c r="AO26" s="170" t="s">
        <v>593</v>
      </c>
      <c r="AP26" s="171">
        <v>1</v>
      </c>
      <c r="AU26" s="172" t="s">
        <v>77</v>
      </c>
      <c r="AV26" s="151">
        <v>1.5</v>
      </c>
      <c r="AW26" s="151">
        <v>65</v>
      </c>
      <c r="AX26" s="151">
        <v>65</v>
      </c>
      <c r="AY26" s="151">
        <v>65</v>
      </c>
      <c r="AZ26" s="151">
        <f t="shared" si="1"/>
        <v>65</v>
      </c>
      <c r="BA26" s="151">
        <v>1</v>
      </c>
      <c r="BB26" s="151">
        <v>0</v>
      </c>
      <c r="BD26" s="151" t="s">
        <v>394</v>
      </c>
      <c r="BE26" s="151">
        <v>253</v>
      </c>
      <c r="BF26" s="151">
        <v>30</v>
      </c>
      <c r="BG26" s="151">
        <v>14.8</v>
      </c>
      <c r="BH26" s="151">
        <v>0</v>
      </c>
      <c r="BI26" s="151">
        <v>1.18</v>
      </c>
      <c r="BJ26" s="151">
        <v>0</v>
      </c>
      <c r="BK26" s="151">
        <v>18</v>
      </c>
      <c r="BL26" s="151">
        <v>195</v>
      </c>
      <c r="BM26" s="168" t="s">
        <v>438</v>
      </c>
    </row>
    <row r="27" spans="1:65" ht="25.2" customHeight="1">
      <c r="A27" s="30"/>
      <c r="B27" s="226"/>
      <c r="C27" s="227"/>
      <c r="D27" s="228"/>
      <c r="E27" s="94"/>
      <c r="F27" s="277" t="s">
        <v>231</v>
      </c>
      <c r="G27" s="278"/>
      <c r="H27" s="278"/>
      <c r="I27" s="278"/>
      <c r="J27" s="278"/>
      <c r="K27" s="278"/>
      <c r="L27" s="279"/>
      <c r="M27" s="85"/>
      <c r="N27" s="137"/>
      <c r="O27" s="85"/>
      <c r="P27" s="85"/>
      <c r="Q27" s="33"/>
      <c r="R27" s="10"/>
      <c r="S27" s="10"/>
      <c r="T27" s="10"/>
      <c r="U27" s="10"/>
      <c r="V27" s="10"/>
      <c r="Y27" s="168" t="s">
        <v>214</v>
      </c>
      <c r="Z27" s="168" t="str">
        <f>IF($AB$26&gt;0,IF($AA$21=3,IF($AA$22&lt;3,"Les données indiquées pour la pâtée sont incomplètes ou erronées",""),""),"")</f>
        <v/>
      </c>
      <c r="AB27" s="179"/>
      <c r="AC27" s="160"/>
      <c r="AD27" s="151"/>
      <c r="AF27" s="182"/>
      <c r="AG27" s="182"/>
      <c r="AH27" s="182"/>
      <c r="AI27" s="182"/>
      <c r="AJ27" s="182"/>
      <c r="AK27" s="182"/>
      <c r="AL27" s="182"/>
      <c r="AO27" s="170" t="s">
        <v>252</v>
      </c>
      <c r="AP27" s="171">
        <v>1</v>
      </c>
      <c r="AR27" s="242" t="s">
        <v>81</v>
      </c>
      <c r="AS27" s="242"/>
      <c r="AU27" s="172" t="s">
        <v>90</v>
      </c>
      <c r="AV27" s="151">
        <v>2</v>
      </c>
      <c r="AW27" s="151">
        <v>75</v>
      </c>
      <c r="AX27" s="151">
        <v>75</v>
      </c>
      <c r="AY27" s="151">
        <v>75</v>
      </c>
      <c r="AZ27" s="151">
        <f t="shared" si="1"/>
        <v>75</v>
      </c>
      <c r="BA27" s="151">
        <v>1</v>
      </c>
      <c r="BB27" s="151">
        <v>0</v>
      </c>
      <c r="BD27" s="151" t="s">
        <v>395</v>
      </c>
      <c r="BE27" s="151">
        <v>117</v>
      </c>
      <c r="BF27" s="151">
        <v>21.2</v>
      </c>
      <c r="BG27" s="151">
        <v>3.6</v>
      </c>
      <c r="BH27" s="151">
        <v>0</v>
      </c>
      <c r="BI27" s="151">
        <v>1.1000000000000001</v>
      </c>
      <c r="BJ27" s="151">
        <v>0</v>
      </c>
      <c r="BK27" s="151">
        <v>6.38</v>
      </c>
      <c r="BL27" s="151">
        <v>237</v>
      </c>
      <c r="BM27" s="168" t="s">
        <v>439</v>
      </c>
    </row>
    <row r="28" spans="1:65" ht="25.2" customHeight="1">
      <c r="A28" s="30"/>
      <c r="B28" s="258" t="str">
        <f>IF($AC$55=8,"Le Besoin Energétique de votre chien","")</f>
        <v/>
      </c>
      <c r="C28" s="259"/>
      <c r="D28" s="260"/>
      <c r="E28" s="94"/>
      <c r="F28" s="218"/>
      <c r="G28" s="235"/>
      <c r="H28" s="235"/>
      <c r="I28" s="235"/>
      <c r="J28" s="47"/>
      <c r="K28" s="54"/>
      <c r="L28" s="69"/>
      <c r="M28" s="86"/>
      <c r="N28" s="35"/>
      <c r="O28" s="86"/>
      <c r="P28" s="86"/>
      <c r="Q28" s="34"/>
      <c r="R28" s="3"/>
      <c r="S28" s="3"/>
      <c r="T28" s="3"/>
      <c r="U28" s="3"/>
      <c r="V28" s="3"/>
      <c r="W28" s="154"/>
      <c r="Y28" s="168" t="s">
        <v>215</v>
      </c>
      <c r="Z28" s="168" t="str">
        <f>IF($AB$26&gt;0,IF($AA$21&lt;3,IF($AA$22&lt;3,"Les données indiquées pour les croquettes et la pâtée sont incomplètes ou erronées",""),""),"")</f>
        <v/>
      </c>
      <c r="AB28" s="158"/>
      <c r="AC28" s="151"/>
      <c r="AD28" s="176"/>
      <c r="AF28" s="161" t="s">
        <v>498</v>
      </c>
      <c r="AG28" s="302" t="str">
        <f>IF($Z$21=3,"Certaines valeurs nutritionnelles sont proches des limites recommandées","")</f>
        <v/>
      </c>
      <c r="AH28" s="301"/>
      <c r="AI28" s="301"/>
      <c r="AJ28" s="301"/>
      <c r="AK28" s="301"/>
      <c r="AL28" s="301"/>
      <c r="AO28" s="170" t="s">
        <v>253</v>
      </c>
      <c r="AP28" s="171">
        <v>1</v>
      </c>
      <c r="AR28" s="172" t="s">
        <v>82</v>
      </c>
      <c r="AS28" s="151">
        <v>1</v>
      </c>
      <c r="BA28" s="184" t="s">
        <v>109</v>
      </c>
      <c r="BD28" s="151" t="s">
        <v>396</v>
      </c>
      <c r="BE28" s="151">
        <v>198</v>
      </c>
      <c r="BF28" s="151">
        <v>28.3</v>
      </c>
      <c r="BG28" s="151">
        <v>9.39</v>
      </c>
      <c r="BH28" s="151">
        <v>0</v>
      </c>
      <c r="BI28" s="151">
        <v>1.88</v>
      </c>
      <c r="BJ28" s="151">
        <v>0</v>
      </c>
      <c r="BK28" s="151">
        <v>5.5</v>
      </c>
      <c r="BL28" s="151">
        <v>281</v>
      </c>
      <c r="BM28" s="168" t="s">
        <v>440</v>
      </c>
    </row>
    <row r="29" spans="1:65" ht="25.2" customHeight="1">
      <c r="A29" s="30"/>
      <c r="B29" s="61">
        <f>IF($AC$55=8,ROUND($AB$33,0),0)</f>
        <v>0</v>
      </c>
      <c r="C29" s="38" t="str">
        <f>IF($AC$55=8,ROUND($B$29,0)&amp;" kcal par jour","")</f>
        <v/>
      </c>
      <c r="D29" s="62"/>
      <c r="E29" s="94"/>
      <c r="F29" s="218" t="str">
        <f>IF($Z$21=3," Quantité de CROQUETTES théorique à donner par jour","")</f>
        <v/>
      </c>
      <c r="G29" s="219"/>
      <c r="H29" s="219"/>
      <c r="I29" s="220"/>
      <c r="J29" s="221" t="str">
        <f>IF($Z$21=3,IF($L$23&gt;0,$Z$16&amp;" g","-"),"")</f>
        <v/>
      </c>
      <c r="K29" s="217"/>
      <c r="L29" s="69"/>
      <c r="M29" s="86"/>
      <c r="N29" s="35"/>
      <c r="O29" s="86"/>
      <c r="P29" s="86"/>
      <c r="Q29" s="34"/>
      <c r="R29" s="3"/>
      <c r="S29" s="3"/>
      <c r="T29" s="3"/>
      <c r="U29" s="3"/>
      <c r="V29" s="3"/>
      <c r="W29" s="154"/>
      <c r="Y29" s="185" t="s">
        <v>216</v>
      </c>
      <c r="Z29" s="185" t="str">
        <f>$Z$24&amp;$Z$25&amp;$Z$26&amp;$Z$27&amp;$Z$28&amp;"  "</f>
        <v xml:space="preserve">Les données indiquées pour les croquettes sont incomplètes ou erronées  </v>
      </c>
      <c r="AA29" s="186"/>
      <c r="AB29" s="292" t="s">
        <v>205</v>
      </c>
      <c r="AC29" s="293"/>
      <c r="AF29" s="161" t="s">
        <v>499</v>
      </c>
      <c r="AG29" s="302" t="str">
        <f>IF($Z$21=3,"Certaines valeurs nutritionnelles dépassent les limites recommandées","")</f>
        <v/>
      </c>
      <c r="AH29" s="301"/>
      <c r="AI29" s="301"/>
      <c r="AJ29" s="301"/>
      <c r="AK29" s="301"/>
      <c r="AL29" s="301"/>
      <c r="AO29" s="170" t="s">
        <v>254</v>
      </c>
      <c r="AP29" s="171">
        <v>1</v>
      </c>
      <c r="AR29" s="172" t="s">
        <v>221</v>
      </c>
      <c r="AS29" s="151">
        <v>1</v>
      </c>
      <c r="BD29" s="151" t="s">
        <v>397</v>
      </c>
      <c r="BE29" s="151">
        <v>114</v>
      </c>
      <c r="BF29" s="151">
        <v>19.3</v>
      </c>
      <c r="BG29" s="151">
        <v>4.05</v>
      </c>
      <c r="BH29" s="151">
        <v>0</v>
      </c>
      <c r="BI29" s="151">
        <v>0.98</v>
      </c>
      <c r="BJ29" s="151">
        <v>0</v>
      </c>
      <c r="BK29" s="151">
        <v>10.3</v>
      </c>
      <c r="BL29" s="151">
        <v>173</v>
      </c>
      <c r="BM29" s="168" t="s">
        <v>480</v>
      </c>
    </row>
    <row r="30" spans="1:65" ht="25.2" customHeight="1">
      <c r="A30" s="30"/>
      <c r="B30" s="222" t="str">
        <f>" "&amp;IF($AC$55=8,IF($C$25=$AR$20,$AF$25,IF($C$25=$AR$21,$AF$26,"")),"")</f>
        <v xml:space="preserve"> </v>
      </c>
      <c r="C30" s="223"/>
      <c r="D30" s="224"/>
      <c r="E30" s="94"/>
      <c r="F30" s="218" t="str">
        <f>IF($Z$21=3," Quantité de PÂTEE théorique à donner par jour","")</f>
        <v/>
      </c>
      <c r="G30" s="219"/>
      <c r="H30" s="219"/>
      <c r="I30" s="220"/>
      <c r="J30" s="221" t="str">
        <f>IF($Z$21=3,IF($L$24&gt;0,$Z$17&amp;" g","-"),"")</f>
        <v/>
      </c>
      <c r="K30" s="217"/>
      <c r="L30" s="70"/>
      <c r="M30" s="86"/>
      <c r="N30" s="86"/>
      <c r="O30" s="86"/>
      <c r="P30" s="86"/>
      <c r="Q30" s="34"/>
      <c r="R30" s="3"/>
      <c r="S30" s="3"/>
      <c r="T30" s="3"/>
      <c r="U30" s="3"/>
      <c r="V30" s="3"/>
      <c r="W30" s="154"/>
      <c r="AF30" s="300" t="s">
        <v>500</v>
      </c>
      <c r="AG30" s="229"/>
      <c r="AH30" s="229"/>
      <c r="AI30" s="229"/>
      <c r="AJ30" s="229"/>
      <c r="AK30" s="229"/>
      <c r="AL30" s="229"/>
      <c r="AO30" s="170" t="s">
        <v>8</v>
      </c>
      <c r="AP30" s="171">
        <v>1</v>
      </c>
      <c r="AR30" s="172" t="s">
        <v>83</v>
      </c>
      <c r="AS30" s="151">
        <v>1.2</v>
      </c>
      <c r="BD30" s="151" t="s">
        <v>398</v>
      </c>
      <c r="BE30" s="151">
        <v>188</v>
      </c>
      <c r="BF30" s="151">
        <v>24.8</v>
      </c>
      <c r="BG30" s="151">
        <v>9.52</v>
      </c>
      <c r="BH30" s="151">
        <v>0.7</v>
      </c>
      <c r="BI30" s="151">
        <v>1.03</v>
      </c>
      <c r="BJ30" s="151">
        <v>0</v>
      </c>
      <c r="BK30" s="151">
        <v>5.8</v>
      </c>
      <c r="BL30" s="151">
        <v>164</v>
      </c>
      <c r="BM30" s="168" t="s">
        <v>481</v>
      </c>
    </row>
    <row r="31" spans="1:65" ht="25.2" customHeight="1">
      <c r="A31" s="30"/>
      <c r="B31" s="225"/>
      <c r="C31" s="223"/>
      <c r="D31" s="224"/>
      <c r="E31" s="86"/>
      <c r="F31" s="238" t="str">
        <f>IF($AC$67=1," Quantité "&amp;$AH$82&amp;" à ajouter","")</f>
        <v/>
      </c>
      <c r="G31" s="239"/>
      <c r="H31" s="239"/>
      <c r="I31" s="239"/>
      <c r="J31" s="216" t="str">
        <f>IF($AC$67=1,$L$22&amp;" g","")</f>
        <v/>
      </c>
      <c r="K31" s="217"/>
      <c r="L31" s="71"/>
      <c r="M31" s="85"/>
      <c r="N31" s="86"/>
      <c r="O31" s="86"/>
      <c r="P31" s="85"/>
      <c r="Q31" s="33"/>
      <c r="R31" s="10"/>
      <c r="S31" s="10"/>
      <c r="T31" s="10"/>
      <c r="U31" s="10"/>
      <c r="V31" s="10"/>
      <c r="Y31" s="229" t="s">
        <v>105</v>
      </c>
      <c r="Z31" s="229"/>
      <c r="AA31" s="229"/>
      <c r="AB31" s="229"/>
      <c r="AC31" s="237"/>
      <c r="AF31" s="151" t="s">
        <v>198</v>
      </c>
      <c r="AG31" s="301" t="str">
        <f>IF($Z$21=3,"Les protéines sont en dessous du minimum requis pour votre chien (RPC minimum : "&amp;$AA$34&amp;")","")</f>
        <v/>
      </c>
      <c r="AH31" s="301"/>
      <c r="AI31" s="301"/>
      <c r="AJ31" s="301"/>
      <c r="AK31" s="301"/>
      <c r="AL31" s="301"/>
      <c r="AO31" s="170" t="s">
        <v>255</v>
      </c>
      <c r="AP31" s="171">
        <v>1</v>
      </c>
      <c r="AR31" s="172" t="s">
        <v>222</v>
      </c>
      <c r="AS31" s="151">
        <v>1.1000000000000001</v>
      </c>
      <c r="BD31" s="151" t="s">
        <v>399</v>
      </c>
      <c r="BE31" s="151">
        <v>108</v>
      </c>
      <c r="BF31" s="151">
        <v>23.5</v>
      </c>
      <c r="BG31" s="151">
        <v>1.34</v>
      </c>
      <c r="BH31" s="151">
        <v>0.45</v>
      </c>
      <c r="BI31" s="151">
        <v>1.92</v>
      </c>
      <c r="BJ31" s="151">
        <v>0</v>
      </c>
      <c r="BK31" s="151">
        <v>8</v>
      </c>
      <c r="BL31" s="151">
        <v>218</v>
      </c>
      <c r="BM31" s="168" t="s">
        <v>441</v>
      </c>
    </row>
    <row r="32" spans="1:65" ht="35.200000000000003" customHeight="1">
      <c r="A32" s="30"/>
      <c r="B32" s="225"/>
      <c r="C32" s="223"/>
      <c r="D32" s="224"/>
      <c r="E32" s="86"/>
      <c r="F32" s="232" t="str">
        <f>IF($Z$21=3,IF($AI$37&gt;0,$AG$31,IF($AH$37&gt;0,$AG$32,$AG$67))," ")</f>
        <v xml:space="preserve"> </v>
      </c>
      <c r="G32" s="233"/>
      <c r="H32" s="233"/>
      <c r="I32" s="233"/>
      <c r="J32" s="233"/>
      <c r="K32" s="233"/>
      <c r="L32" s="234"/>
      <c r="M32" s="86"/>
      <c r="N32" s="86"/>
      <c r="O32" s="86"/>
      <c r="P32" s="86"/>
      <c r="Q32" s="34"/>
      <c r="R32" s="3"/>
      <c r="S32" s="3"/>
      <c r="T32" s="3"/>
      <c r="U32" s="3"/>
      <c r="V32" s="3"/>
      <c r="W32" s="154"/>
      <c r="Y32" s="172"/>
      <c r="Z32" s="187" t="s">
        <v>597</v>
      </c>
      <c r="AA32" s="176">
        <f>IF($C$15&lt;21,$C$15^0.75,$C$15^0.667)</f>
        <v>0</v>
      </c>
      <c r="AB32" s="158">
        <f>IF($AC$55=8,ROUND($AA$33*$E$19*$E$20*$E$21*$E$22*$E$23*$E$24*$E$25,0),0)</f>
        <v>0</v>
      </c>
      <c r="AC32" s="304" t="s">
        <v>110</v>
      </c>
      <c r="AF32" s="151" t="s">
        <v>199</v>
      </c>
      <c r="AG32" s="301" t="str">
        <f>IF($Z$21=3,"Les protéines sont proches du minimum requis pour votre chien (RPC minimum : "&amp;$AA$34&amp;")","")</f>
        <v/>
      </c>
      <c r="AH32" s="301"/>
      <c r="AI32" s="301"/>
      <c r="AJ32" s="301"/>
      <c r="AK32" s="301"/>
      <c r="AL32" s="301"/>
      <c r="AO32" s="170" t="s">
        <v>256</v>
      </c>
      <c r="AP32" s="171">
        <v>1</v>
      </c>
      <c r="AR32" s="172" t="s">
        <v>223</v>
      </c>
      <c r="AS32" s="151">
        <v>1.3</v>
      </c>
      <c r="BD32" s="151" t="s">
        <v>400</v>
      </c>
      <c r="BE32" s="151">
        <v>137</v>
      </c>
      <c r="BF32" s="151">
        <v>29.2</v>
      </c>
      <c r="BG32" s="151">
        <v>1.76</v>
      </c>
      <c r="BH32" s="151">
        <v>1.2</v>
      </c>
      <c r="BI32" s="151">
        <v>1.88</v>
      </c>
      <c r="BJ32" s="151">
        <v>0</v>
      </c>
      <c r="BK32" s="151">
        <v>12.9</v>
      </c>
      <c r="BL32" s="151">
        <v>224</v>
      </c>
      <c r="BM32" s="168" t="s">
        <v>442</v>
      </c>
    </row>
    <row r="33" spans="1:65" ht="25.2" customHeight="1">
      <c r="A33" s="30"/>
      <c r="B33" s="244" t="s">
        <v>497</v>
      </c>
      <c r="C33" s="245"/>
      <c r="D33" s="246"/>
      <c r="E33" s="86"/>
      <c r="F33" s="230" t="str">
        <f>IF($Z$21=3,"     Données nutritionnelles","")</f>
        <v/>
      </c>
      <c r="G33" s="231"/>
      <c r="H33" s="22"/>
      <c r="I33" s="22" t="str">
        <f>IF($Z$21=3,"             "&amp;ROUNDDOWN($Z$78,0)&amp;" kcal","")</f>
        <v/>
      </c>
      <c r="J33" s="23" t="str">
        <f>IF($Z$21=3,"RPC : "&amp;ROUND($AC$16,1)&amp;"      ","")</f>
        <v/>
      </c>
      <c r="K33" s="22" t="str">
        <f>IF($Z$21=3,IF($AG$18+$AG$19=4,"   Ca/P : "&amp;ROUND($AG$81,2),"  Ca/P :  -  "),"")</f>
        <v/>
      </c>
      <c r="L33" s="72" t="str">
        <f>IF($Z$21=3,"Humidité : "&amp;$AB$36&amp;" %","")</f>
        <v/>
      </c>
      <c r="M33" s="86"/>
      <c r="N33" s="86"/>
      <c r="O33" s="86"/>
      <c r="P33" s="86"/>
      <c r="Q33" s="34"/>
      <c r="R33" s="3"/>
      <c r="S33" s="3"/>
      <c r="T33" s="3"/>
      <c r="U33" s="3"/>
      <c r="V33" s="3"/>
      <c r="W33" s="154"/>
      <c r="Y33" s="295" t="s">
        <v>598</v>
      </c>
      <c r="Z33" s="294"/>
      <c r="AA33" s="176">
        <f>ROUND(IF($C$15&lt;21,$AA$32*120,$AA$32*156),0)</f>
        <v>0</v>
      </c>
      <c r="AB33" s="158">
        <f>IF($AC$55=8,IF($AB$32&lt;($AA$33/2),$AA$33/2,$AB$32),0)</f>
        <v>0</v>
      </c>
      <c r="AC33" s="242"/>
      <c r="AO33" s="170" t="s">
        <v>9</v>
      </c>
      <c r="AP33" s="171">
        <v>1</v>
      </c>
      <c r="BD33" s="151" t="s">
        <v>401</v>
      </c>
      <c r="BE33" s="151">
        <v>133</v>
      </c>
      <c r="BF33" s="151">
        <v>19.8</v>
      </c>
      <c r="BG33" s="151">
        <v>5.92</v>
      </c>
      <c r="BH33" s="151">
        <v>1E-3</v>
      </c>
      <c r="BI33" s="151">
        <v>0.9</v>
      </c>
      <c r="BJ33" s="151">
        <v>0</v>
      </c>
      <c r="BK33" s="151">
        <v>10</v>
      </c>
      <c r="BL33" s="151">
        <v>171</v>
      </c>
      <c r="BM33" s="168" t="s">
        <v>443</v>
      </c>
    </row>
    <row r="34" spans="1:65" ht="25.2" customHeight="1">
      <c r="A34" s="30"/>
      <c r="B34" s="247" t="s">
        <v>508</v>
      </c>
      <c r="C34" s="248"/>
      <c r="D34" s="249"/>
      <c r="E34" s="86"/>
      <c r="F34" s="73" t="s">
        <v>114</v>
      </c>
      <c r="G34" s="14" t="s">
        <v>115</v>
      </c>
      <c r="H34" s="14" t="s">
        <v>116</v>
      </c>
      <c r="I34" s="14" t="s">
        <v>117</v>
      </c>
      <c r="J34" s="14" t="s">
        <v>191</v>
      </c>
      <c r="K34" s="14" t="s">
        <v>192</v>
      </c>
      <c r="L34" s="74" t="s">
        <v>193</v>
      </c>
      <c r="M34" s="86"/>
      <c r="N34" s="86"/>
      <c r="O34" s="86"/>
      <c r="P34" s="86"/>
      <c r="Q34" s="34"/>
      <c r="R34" s="5"/>
      <c r="S34" s="5"/>
      <c r="T34" s="5"/>
      <c r="U34" s="5"/>
      <c r="V34" s="5"/>
      <c r="W34" s="154"/>
      <c r="Y34" s="295" t="s">
        <v>599</v>
      </c>
      <c r="Z34" s="294"/>
      <c r="AA34" s="151">
        <f>IF($AC$55=8,ROUND($AK$62,0),0)</f>
        <v>0</v>
      </c>
      <c r="AB34" s="158">
        <f>IF($AC$55=8,$E$19*$E$20*$E$21*$E$22*$E$23*$E$24*$E$25,0)</f>
        <v>0</v>
      </c>
      <c r="AC34" s="242"/>
      <c r="AG34" s="159" t="str">
        <f>"RPC MARGE  "</f>
        <v xml:space="preserve">RPC MARGE  </v>
      </c>
      <c r="AH34" s="151" t="str">
        <f>"10% arrondi inférieur (2pt min)"</f>
        <v>10% arrondi inférieur (2pt min)</v>
      </c>
      <c r="AI34" s="189" t="s">
        <v>544</v>
      </c>
      <c r="AJ34" s="151" t="s">
        <v>545</v>
      </c>
      <c r="AK34" s="189" t="s">
        <v>492</v>
      </c>
      <c r="AO34" s="170" t="s">
        <v>257</v>
      </c>
      <c r="AP34" s="171">
        <v>0.9</v>
      </c>
      <c r="BD34" s="151" t="s">
        <v>402</v>
      </c>
      <c r="BE34" s="151">
        <v>233</v>
      </c>
      <c r="BF34" s="151">
        <v>34.9</v>
      </c>
      <c r="BG34" s="151">
        <v>10.4</v>
      </c>
      <c r="BH34" s="151">
        <v>1E-3</v>
      </c>
      <c r="BI34" s="151">
        <v>1</v>
      </c>
      <c r="BJ34" s="151">
        <v>0</v>
      </c>
      <c r="BK34" s="151">
        <v>10.8</v>
      </c>
      <c r="BL34" s="151">
        <v>180</v>
      </c>
      <c r="BM34" s="168" t="s">
        <v>444</v>
      </c>
    </row>
    <row r="35" spans="1:65" ht="25.2" customHeight="1">
      <c r="A35" s="30"/>
      <c r="B35" s="250"/>
      <c r="C35" s="248"/>
      <c r="D35" s="249"/>
      <c r="E35" s="86"/>
      <c r="F35" s="75" t="str">
        <f>IF($Z$21=3,ROUND($AA$79,2)&amp;" %","")</f>
        <v/>
      </c>
      <c r="G35" s="21" t="str">
        <f>IF($Z$21=3,ROUND($AB$79,2)&amp;" %","")</f>
        <v/>
      </c>
      <c r="H35" s="21" t="str">
        <f>IF($Z$21=3,ROUND($AE$79,2)&amp;" %","")</f>
        <v/>
      </c>
      <c r="I35" s="21" t="str">
        <f>IF($Z$21=3,ROUND($AD$79,2)&amp;" %","")</f>
        <v/>
      </c>
      <c r="J35" s="21" t="str">
        <f>IF($Z$21=3,ROUND($AC$79,2)&amp;" %","")</f>
        <v/>
      </c>
      <c r="K35" s="21" t="str">
        <f>IF($Z$21=3,IF($AG$18=2,ROUND($AF$79,2)&amp;" %",""),"")</f>
        <v/>
      </c>
      <c r="L35" s="76" t="str">
        <f>IF($Z$21=3,IF($AG$19=2,ROUND($AG$79,2)&amp;" %",""),"")</f>
        <v/>
      </c>
      <c r="M35" s="86"/>
      <c r="N35" s="86"/>
      <c r="O35" s="86"/>
      <c r="P35" s="86"/>
      <c r="Q35" s="34"/>
      <c r="R35" s="5"/>
      <c r="S35" s="5"/>
      <c r="T35" s="5"/>
      <c r="U35" s="5"/>
      <c r="V35" s="5"/>
      <c r="W35" s="154"/>
      <c r="Y35" s="295" t="s">
        <v>579</v>
      </c>
      <c r="Z35" s="294"/>
      <c r="AA35" s="151">
        <f>IF($AC$55=8,$AB$33/100*10,0)</f>
        <v>0</v>
      </c>
      <c r="AB35" s="158"/>
      <c r="AC35" s="242"/>
      <c r="AG35" s="159" t="str">
        <f>"ZONE ROUGE &lt; "&amp;$AG$37-$AH$35&amp;"  |  ZONE ORANGE &lt;  "&amp;$AA$34&amp;"  "</f>
        <v xml:space="preserve">ZONE ROUGE &lt; -10  |  ZONE ORANGE &lt;  0  </v>
      </c>
      <c r="AH35" s="151">
        <f>IF(ROUNDUP(AG37/100*10,1)&lt;10,10,ROUNDUP(AG37/100*10,1))</f>
        <v>10</v>
      </c>
      <c r="AI35" s="151">
        <f>$AA$34</f>
        <v>0</v>
      </c>
      <c r="AJ35" s="151">
        <f>$AG$37-$AH$35</f>
        <v>-10</v>
      </c>
      <c r="AK35" s="151">
        <f>$AC$16</f>
        <v>0</v>
      </c>
      <c r="AO35" s="170" t="s">
        <v>258</v>
      </c>
      <c r="AP35" s="171">
        <v>1</v>
      </c>
      <c r="BD35" s="151" t="s">
        <v>403</v>
      </c>
      <c r="BE35" s="151">
        <v>108</v>
      </c>
      <c r="BF35" s="151">
        <v>20.7</v>
      </c>
      <c r="BG35" s="151">
        <v>2.6</v>
      </c>
      <c r="BH35" s="151">
        <v>0.57999999999999996</v>
      </c>
      <c r="BI35" s="151">
        <v>1.08</v>
      </c>
      <c r="BJ35" s="151">
        <v>0</v>
      </c>
      <c r="BK35" s="151">
        <v>10</v>
      </c>
      <c r="BL35" s="151">
        <v>171</v>
      </c>
      <c r="BM35" s="168" t="s">
        <v>445</v>
      </c>
    </row>
    <row r="36" spans="1:65" ht="25.2" customHeight="1">
      <c r="A36" s="30"/>
      <c r="B36" s="247" t="s">
        <v>509</v>
      </c>
      <c r="C36" s="248"/>
      <c r="D36" s="249"/>
      <c r="E36" s="85"/>
      <c r="F36" s="102" t="str">
        <f>IF($Z$21=3,ROUND($AA$80,2)&amp;" % (MS)","")</f>
        <v/>
      </c>
      <c r="G36" s="103" t="str">
        <f>IF($Z$21=3,ROUND($AB$80,2)&amp;" % (MS)","")</f>
        <v/>
      </c>
      <c r="H36" s="103" t="str">
        <f>IF($Z$21=3,ROUND($AE$80,2)&amp;" % (MS)","")</f>
        <v/>
      </c>
      <c r="I36" s="103" t="str">
        <f>IF($Z$21=3,ROUND($AD$80,2)&amp;" % (MS)","")</f>
        <v/>
      </c>
      <c r="J36" s="103" t="str">
        <f>IF($Z$21=3,ROUND($AC$80,2)&amp;" % (MS)","")</f>
        <v/>
      </c>
      <c r="K36" s="103" t="str">
        <f>IF($Z$21=3,IF($AG$18=2,ROUND($AF$80,2)&amp;" % (MS)",""),"")</f>
        <v/>
      </c>
      <c r="L36" s="104" t="str">
        <f>IF($Z$21=3,IF($AG$19=2,ROUND($AG$80,2)&amp;" % (MS)",""),"")</f>
        <v/>
      </c>
      <c r="M36" s="86"/>
      <c r="N36" s="86"/>
      <c r="O36" s="86"/>
      <c r="P36" s="86"/>
      <c r="Q36" s="34"/>
      <c r="R36" s="5"/>
      <c r="S36" s="5"/>
      <c r="T36" s="5"/>
      <c r="U36" s="5"/>
      <c r="V36" s="5"/>
      <c r="W36" s="154"/>
      <c r="Y36" s="295" t="s">
        <v>600</v>
      </c>
      <c r="Z36" s="294"/>
      <c r="AA36" s="151">
        <f>IF($AA$34&gt;105,$AA$34,105)</f>
        <v>105</v>
      </c>
      <c r="AB36" s="158">
        <f>IF($Z$21=3,ROUND($AH$79,2),0)</f>
        <v>0</v>
      </c>
      <c r="AC36" s="151">
        <f>ROUNDUP((AA36+AA34)/2,0)</f>
        <v>53</v>
      </c>
      <c r="AF36" s="151" t="s">
        <v>184</v>
      </c>
      <c r="AG36" s="151" t="s">
        <v>185</v>
      </c>
      <c r="AH36" s="151" t="s">
        <v>186</v>
      </c>
      <c r="AI36" s="151" t="s">
        <v>187</v>
      </c>
      <c r="AJ36" s="151" t="s">
        <v>188</v>
      </c>
      <c r="AK36" s="151" t="s">
        <v>189</v>
      </c>
      <c r="AL36" s="151" t="s">
        <v>190</v>
      </c>
      <c r="AO36" s="170" t="s">
        <v>259</v>
      </c>
      <c r="AP36" s="171">
        <v>1</v>
      </c>
      <c r="BD36" s="151" t="s">
        <v>404</v>
      </c>
      <c r="BE36" s="151">
        <v>147</v>
      </c>
      <c r="BF36" s="151">
        <v>31</v>
      </c>
      <c r="BG36" s="151">
        <v>2.5</v>
      </c>
      <c r="BH36" s="151">
        <v>1E-3</v>
      </c>
      <c r="BI36" s="151">
        <v>1</v>
      </c>
      <c r="BJ36" s="151">
        <v>0</v>
      </c>
      <c r="BK36" s="151">
        <v>10.8</v>
      </c>
      <c r="BL36" s="151">
        <v>180</v>
      </c>
      <c r="BM36" s="168" t="s">
        <v>446</v>
      </c>
    </row>
    <row r="37" spans="1:65" ht="25.2" customHeight="1">
      <c r="A37" s="30"/>
      <c r="B37" s="250"/>
      <c r="C37" s="248"/>
      <c r="D37" s="249"/>
      <c r="E37" s="85"/>
      <c r="F37" s="105" t="str">
        <f>IF($Z$21=3,$AA$84&amp;" g/Mcal","")</f>
        <v/>
      </c>
      <c r="G37" s="106" t="str">
        <f>IF($Z$21=3,$AB$84&amp;" g/Mcal","")</f>
        <v/>
      </c>
      <c r="H37" s="106" t="str">
        <f>IF($Z$21=3,$AE$84&amp;" g/Mcal","")</f>
        <v/>
      </c>
      <c r="I37" s="106" t="str">
        <f>IF($Z$21=3,$AD$84&amp;" g/Mcal","")</f>
        <v/>
      </c>
      <c r="J37" s="106" t="str">
        <f>IF($Z$21=3,$AC$84&amp;" g/Mcal","")</f>
        <v/>
      </c>
      <c r="K37" s="106" t="str">
        <f>IF($Z$21=3,IF($AG$18=2,$AF$84&amp;" g/Mcal",""),"")</f>
        <v/>
      </c>
      <c r="L37" s="107" t="str">
        <f>IF($Z$21=3,IF($AG$19=2,$AG$84&amp;" g/Mcal",""),"")</f>
        <v/>
      </c>
      <c r="M37" s="86"/>
      <c r="N37" s="86"/>
      <c r="O37" s="86"/>
      <c r="P37" s="86"/>
      <c r="Q37" s="34"/>
      <c r="R37" s="5"/>
      <c r="S37" s="5"/>
      <c r="T37" s="5"/>
      <c r="U37" s="5"/>
      <c r="V37" s="5"/>
      <c r="W37" s="154"/>
      <c r="Y37" s="295" t="s">
        <v>601</v>
      </c>
      <c r="Z37" s="294"/>
      <c r="AA37" s="151">
        <f>ROUND($AA$36*$B$29/1000,2)</f>
        <v>0</v>
      </c>
      <c r="AB37" s="158">
        <f>IF($AC$55=8,IF($L$35&gt;0,ROUND($AG$81,2),0),0)</f>
        <v>0</v>
      </c>
      <c r="AC37" s="151">
        <f>ROUND($AC$36*$B$29/1000,2)</f>
        <v>0</v>
      </c>
      <c r="AD37" s="164" t="s">
        <v>472</v>
      </c>
      <c r="AF37" s="151" t="s">
        <v>197</v>
      </c>
      <c r="AG37" s="151">
        <f>$AA$34</f>
        <v>0</v>
      </c>
      <c r="AH37" s="151">
        <f>IF($AC$16&lt;$AG$37,1,0)</f>
        <v>0</v>
      </c>
      <c r="AI37" s="151">
        <f>IF($AC$16&lt;($AG$37-$AH$35),1,0)</f>
        <v>0</v>
      </c>
      <c r="AJ37" s="151">
        <f>IF(AK61=1,999,AK61)</f>
        <v>0</v>
      </c>
      <c r="AK37" s="151">
        <f>IF($AC$16&gt;$AJ$37,1,0)</f>
        <v>0</v>
      </c>
      <c r="AL37" s="151">
        <f>IF($AC$16&gt;($AJ$37+$AH$35),1,0)</f>
        <v>0</v>
      </c>
      <c r="AO37" s="170" t="s">
        <v>10</v>
      </c>
      <c r="AP37" s="171">
        <v>1</v>
      </c>
      <c r="BD37" s="151" t="s">
        <v>405</v>
      </c>
      <c r="BE37" s="151">
        <v>98.9</v>
      </c>
      <c r="BF37" s="151">
        <v>23.1</v>
      </c>
      <c r="BG37" s="151">
        <v>0.73</v>
      </c>
      <c r="BH37" s="151">
        <v>0</v>
      </c>
      <c r="BI37" s="151">
        <v>1.06</v>
      </c>
      <c r="BJ37" s="151">
        <v>0</v>
      </c>
      <c r="BK37" s="151">
        <v>15.2</v>
      </c>
      <c r="BL37" s="151">
        <v>193</v>
      </c>
      <c r="BM37" s="168" t="s">
        <v>447</v>
      </c>
    </row>
    <row r="38" spans="1:65" ht="18" customHeight="1">
      <c r="A38" s="32"/>
      <c r="B38" s="247" t="s">
        <v>510</v>
      </c>
      <c r="C38" s="272"/>
      <c r="D38" s="273"/>
      <c r="E38" s="95"/>
      <c r="F38" s="40"/>
      <c r="G38" s="41"/>
      <c r="H38" s="42"/>
      <c r="I38" s="42"/>
      <c r="J38" s="42"/>
      <c r="K38" s="42"/>
      <c r="L38" s="42"/>
      <c r="M38" s="86"/>
      <c r="N38" s="86"/>
      <c r="O38" s="86"/>
      <c r="P38" s="86"/>
      <c r="Q38" s="34"/>
      <c r="R38" s="5"/>
      <c r="S38" s="5"/>
      <c r="T38" s="5"/>
      <c r="U38" s="5"/>
      <c r="V38" s="5"/>
      <c r="W38" s="154"/>
      <c r="AB38" s="172"/>
      <c r="AC38" s="151"/>
      <c r="AF38" s="151" t="s">
        <v>115</v>
      </c>
      <c r="AG38" s="151">
        <f>IF($AC$55=8,VLOOKUP($C$20,$X$123:$AL$146,2,0)&amp;" | "&amp;VLOOKUP($C$20,$X$93:$AL$116,2,0),0)</f>
        <v>0</v>
      </c>
      <c r="AH38" s="151">
        <f>IF($Z$21=3,IF($AG$46&lt;VLOOKUP($C$20,$X$123:$AL$146,2,0),1,0),0)</f>
        <v>0</v>
      </c>
      <c r="AI38" s="151">
        <f>IF($Z$21=3,IF($AG$46&lt;VLOOKUP($C$20,$X$93:$AL$116,2,0),1,0),0)</f>
        <v>0</v>
      </c>
      <c r="AJ38" s="151">
        <f>IF($AC$55=8,ROUNDUP(VLOOKUP($C$20,$X$123:$AL$146,3,0)*$Z$118,0)&amp;" | "&amp;ROUNDUP(VLOOKUP($C$20,$X$93:$AL$116,3,0)*$Z$118,0),0)</f>
        <v>0</v>
      </c>
      <c r="AK38" s="151">
        <f>IF($Z$21=3,IF($AG$46&gt;ROUNDUP(VLOOKUP($C$20,$X$123:$AL$146,3,0)*$Z$118,0),1,0),0)</f>
        <v>0</v>
      </c>
      <c r="AL38" s="151">
        <f>IF($Z$21=3,IF($AG$46&gt;ROUNDUP(VLOOKUP($C$20,$X$93:$AL$116,3,0)*$Z$118,0),1,0),0)</f>
        <v>0</v>
      </c>
      <c r="AO38" s="170" t="s">
        <v>260</v>
      </c>
      <c r="AP38" s="171">
        <v>0.9</v>
      </c>
      <c r="BD38" s="151" t="s">
        <v>406</v>
      </c>
      <c r="BE38" s="151">
        <v>115</v>
      </c>
      <c r="BF38" s="151">
        <v>23.48</v>
      </c>
      <c r="BG38" s="151">
        <v>1.69</v>
      </c>
      <c r="BH38" s="151">
        <v>0</v>
      </c>
      <c r="BI38" s="151">
        <v>1.46</v>
      </c>
      <c r="BJ38" s="151">
        <v>0</v>
      </c>
      <c r="BK38" s="151">
        <v>62</v>
      </c>
      <c r="BL38" s="151">
        <v>285</v>
      </c>
      <c r="BM38" s="168" t="s">
        <v>448</v>
      </c>
    </row>
    <row r="39" spans="1:65" ht="25.2" customHeight="1">
      <c r="A39" s="32"/>
      <c r="B39" s="274"/>
      <c r="C39" s="275"/>
      <c r="D39" s="276"/>
      <c r="E39" s="95"/>
      <c r="F39" s="283" t="s">
        <v>233</v>
      </c>
      <c r="G39" s="284"/>
      <c r="H39" s="284"/>
      <c r="I39" s="284"/>
      <c r="J39" s="284"/>
      <c r="K39" s="284"/>
      <c r="L39" s="285"/>
      <c r="M39" s="85"/>
      <c r="N39" s="85"/>
      <c r="O39" s="85"/>
      <c r="P39" s="85"/>
      <c r="Q39" s="33"/>
      <c r="R39" s="6"/>
      <c r="S39" s="6"/>
      <c r="T39" s="6"/>
      <c r="U39" s="6"/>
      <c r="V39" s="6"/>
      <c r="Y39" s="242" t="s">
        <v>87</v>
      </c>
      <c r="Z39" s="242"/>
      <c r="AA39" s="326" t="s">
        <v>108</v>
      </c>
      <c r="AB39" s="242" t="s">
        <v>87</v>
      </c>
      <c r="AC39" s="242"/>
      <c r="AF39" s="151" t="s">
        <v>191</v>
      </c>
      <c r="AG39" s="151">
        <f>IF($AC$55=8,VLOOKUP($C$20,$X$123:$AL$146,4,0)&amp;" | "&amp;VLOOKUP($C$20,$X$93:$AL$116,4,0),0)</f>
        <v>0</v>
      </c>
      <c r="AH39" s="151">
        <f>IF($Z$21=3,IF($AH$46&lt;VLOOKUP($C$20,$X$123:$AL$146,4,0),1,0),0)</f>
        <v>0</v>
      </c>
      <c r="AI39" s="151">
        <f>IF($Z$21=3,IF($AH$46&lt;VLOOKUP($C$20,$X$93:$AL$116,4,0),1,0),0)</f>
        <v>0</v>
      </c>
      <c r="AJ39" s="151">
        <f>IF($AC$55=8,VLOOKUP($C$20,$X$123:$AL$146,5,0)&amp;" | "&amp;VLOOKUP($C$20,$X$93:$AL$116,5,0),0)</f>
        <v>0</v>
      </c>
      <c r="AK39" s="151">
        <f>IF($Z$21=3,IF($AH$46&gt;VLOOKUP($C$20,$X$123:$AL$146,5,0),1,0),0)</f>
        <v>0</v>
      </c>
      <c r="AL39" s="151">
        <f>IF($Z$21=3,IF($AH$46&gt;VLOOKUP($C$20,$X$93:$AL$116,5,0),1,0),0)</f>
        <v>0</v>
      </c>
      <c r="AO39" s="170" t="s">
        <v>261</v>
      </c>
      <c r="AP39" s="171">
        <v>0.8</v>
      </c>
      <c r="BD39" s="151" t="s">
        <v>407</v>
      </c>
      <c r="BE39" s="151">
        <v>194</v>
      </c>
      <c r="BF39" s="151">
        <v>20.5</v>
      </c>
      <c r="BG39" s="151">
        <v>12.4</v>
      </c>
      <c r="BH39" s="151">
        <v>1E-3</v>
      </c>
      <c r="BI39" s="151">
        <v>1.22</v>
      </c>
      <c r="BJ39" s="151">
        <v>0</v>
      </c>
      <c r="BK39" s="151">
        <v>5.84</v>
      </c>
      <c r="BL39" s="151">
        <v>181</v>
      </c>
      <c r="BM39" s="168" t="s">
        <v>449</v>
      </c>
    </row>
    <row r="40" spans="1:65" ht="25.2" customHeight="1">
      <c r="A40" s="32"/>
      <c r="B40" s="289" t="s">
        <v>548</v>
      </c>
      <c r="C40" s="290"/>
      <c r="D40" s="291"/>
      <c r="E40" s="95"/>
      <c r="F40" s="55"/>
      <c r="G40" s="43"/>
      <c r="H40" s="45"/>
      <c r="I40" s="45"/>
      <c r="J40" s="45"/>
      <c r="K40" s="46"/>
      <c r="L40" s="78"/>
      <c r="M40" s="85"/>
      <c r="N40" s="85"/>
      <c r="O40" s="85"/>
      <c r="P40" s="85"/>
      <c r="Q40" s="33"/>
      <c r="R40" s="6"/>
      <c r="S40" s="6"/>
      <c r="T40" s="6"/>
      <c r="U40" s="6"/>
      <c r="V40" s="6"/>
      <c r="X40" s="151">
        <f>IF($I$18&lt;&gt;"",IF($I$18&gt;0,1,0),0)</f>
        <v>0</v>
      </c>
      <c r="Y40" s="172" t="s">
        <v>119</v>
      </c>
      <c r="Z40" s="172">
        <f>IF($I$18&lt;&gt;"",1,0)</f>
        <v>0</v>
      </c>
      <c r="AA40" s="326"/>
      <c r="AB40" s="172" t="s">
        <v>562</v>
      </c>
      <c r="AC40" s="172">
        <f>IF(ISNUMBER($C$15),IF($C$15&gt;0,1,0),0)</f>
        <v>0</v>
      </c>
      <c r="AD40" s="172"/>
      <c r="AF40" s="151" t="s">
        <v>116</v>
      </c>
      <c r="AG40" s="151">
        <f>IF($AC$55=8,VLOOKUP($C$20,$X$123:$AL$146,6,0)&amp;" | "&amp;VLOOKUP($C$20,$X$93:$AL$116,6,0),0)</f>
        <v>0</v>
      </c>
      <c r="AH40" s="151">
        <f>IF($Z$21=3,IF($AI$46&lt;VLOOKUP($C$20,$X$123:$AL$146,6,0),1,0),0)</f>
        <v>0</v>
      </c>
      <c r="AI40" s="151">
        <f>IF($Z$21=3,IF($AI$46&lt;VLOOKUP($C$20,$X$93:$AL$116,6,0),1,0),0)</f>
        <v>0</v>
      </c>
      <c r="AJ40" s="151">
        <f>IF($AC$55=8,VLOOKUP($C$20,$X$123:$AL$146,7,0)&amp;" | "&amp;VLOOKUP($C$20,$X$93:$AL$116,7,0),0)</f>
        <v>0</v>
      </c>
      <c r="AK40" s="151">
        <f>IF($Z$21=3,IF($AI$46&gt;VLOOKUP($C$20,$X$123:$AL$146,7,0),1,0),0)</f>
        <v>0</v>
      </c>
      <c r="AL40" s="151">
        <f>IF($Z$21=3,IF($AI$46&gt;VLOOKUP($C$20,$X$93:$AL$116,7,0),1,0),0)</f>
        <v>0</v>
      </c>
      <c r="AO40" s="170" t="s">
        <v>262</v>
      </c>
      <c r="AP40" s="171">
        <v>1</v>
      </c>
      <c r="AR40" s="242" t="s">
        <v>80</v>
      </c>
      <c r="AS40" s="242"/>
      <c r="AU40" s="242" t="s">
        <v>101</v>
      </c>
      <c r="AV40" s="242"/>
      <c r="BD40" s="151" t="s">
        <v>408</v>
      </c>
      <c r="BE40" s="151">
        <v>193</v>
      </c>
      <c r="BF40" s="151">
        <v>25</v>
      </c>
      <c r="BG40" s="151">
        <v>10.3</v>
      </c>
      <c r="BH40" s="151">
        <v>0</v>
      </c>
      <c r="BI40" s="151">
        <v>1.22</v>
      </c>
      <c r="BJ40" s="151">
        <v>0</v>
      </c>
      <c r="BK40" s="151">
        <v>4.5999999999999996</v>
      </c>
      <c r="BL40" s="151">
        <v>150</v>
      </c>
      <c r="BM40" s="168" t="s">
        <v>450</v>
      </c>
    </row>
    <row r="41" spans="1:65" ht="25.2" customHeight="1">
      <c r="A41" s="32"/>
      <c r="B41" s="266" t="s">
        <v>547</v>
      </c>
      <c r="C41" s="267"/>
      <c r="D41" s="268"/>
      <c r="E41" s="95"/>
      <c r="F41" s="55"/>
      <c r="G41" s="43"/>
      <c r="H41" s="45" t="s">
        <v>477</v>
      </c>
      <c r="I41" s="45"/>
      <c r="J41" s="15"/>
      <c r="K41" s="46" t="str">
        <f>IF($Z59&gt;0,IF($L$23&gt;0,IF($J$41=""," Merci d'indiquer le prix au kilo",""),""),"")</f>
        <v/>
      </c>
      <c r="L41" s="78"/>
      <c r="M41" s="85"/>
      <c r="N41" s="85"/>
      <c r="O41" s="85"/>
      <c r="P41" s="85"/>
      <c r="Q41" s="33"/>
      <c r="R41" s="6"/>
      <c r="S41" s="6"/>
      <c r="T41" s="6"/>
      <c r="U41" s="6"/>
      <c r="V41" s="6"/>
      <c r="X41" s="151">
        <f>IF($I$19&lt;&gt;"",IF($I$19&gt;0,1,0),0)</f>
        <v>0</v>
      </c>
      <c r="Y41" s="172" t="s">
        <v>120</v>
      </c>
      <c r="Z41" s="172">
        <f>IF($I$19&lt;&gt;"",1,0)</f>
        <v>0</v>
      </c>
      <c r="AA41" s="326"/>
      <c r="AB41" s="172" t="s">
        <v>563</v>
      </c>
      <c r="AC41" s="172">
        <f>IF($C$19&gt;0,1,0)</f>
        <v>0</v>
      </c>
      <c r="AD41" s="172"/>
      <c r="AF41" s="151" t="s">
        <v>117</v>
      </c>
      <c r="AG41" s="151">
        <f>IF($AC$55=8,VLOOKUP($C$20,$X$123:$AL$146,8,0)&amp;" | "&amp;VLOOKUP($C$20,$X$93:$AL$116,8,0),0)</f>
        <v>0</v>
      </c>
      <c r="AH41" s="151">
        <f>IF($Z$21=3,IF($AJ$46&lt;VLOOKUP($C$20,$X$123:$AL$146,8,0),1,0),0)</f>
        <v>0</v>
      </c>
      <c r="AI41" s="151">
        <f>IF($Z$21=3,IF($AJ$46&lt;VLOOKUP($C$20,$X$93:$AL$116,8,0),1,0),0)</f>
        <v>0</v>
      </c>
      <c r="AJ41" s="151">
        <f>IF($AC$55=8,VLOOKUP($C$20,$X$123:$AL$146,9,0)&amp;" | "&amp;VLOOKUP($C$20,$X$93:$AL$116,9,0),0)</f>
        <v>0</v>
      </c>
      <c r="AK41" s="151">
        <f>IF($Z$21=3,IF($AJ$46&gt;VLOOKUP($C$20,$X$123:$AL$146,9,0),1,0),0)</f>
        <v>0</v>
      </c>
      <c r="AL41" s="151">
        <f>IF($Z$21=3,IF($AJ$46&gt;VLOOKUP($C$20,$X$93:$AL$116,9,0),1,0),0)</f>
        <v>0</v>
      </c>
      <c r="AO41" s="170" t="s">
        <v>263</v>
      </c>
      <c r="AP41" s="171">
        <v>1</v>
      </c>
      <c r="AR41" s="172" t="s">
        <v>67</v>
      </c>
      <c r="AS41" s="151">
        <v>1</v>
      </c>
      <c r="AU41" s="172" t="s">
        <v>70</v>
      </c>
      <c r="AV41" s="151">
        <v>1</v>
      </c>
      <c r="BD41" s="151" t="s">
        <v>409</v>
      </c>
      <c r="BE41" s="151">
        <v>215</v>
      </c>
      <c r="BF41" s="151">
        <v>25</v>
      </c>
      <c r="BG41" s="151">
        <v>14</v>
      </c>
      <c r="BH41" s="151">
        <v>0.49</v>
      </c>
      <c r="BI41" s="151">
        <v>2.4500000000000002</v>
      </c>
      <c r="BJ41" s="151">
        <v>0</v>
      </c>
      <c r="BK41" s="151">
        <v>421</v>
      </c>
      <c r="BL41" s="151">
        <v>337</v>
      </c>
      <c r="BM41" s="168" t="s">
        <v>451</v>
      </c>
    </row>
    <row r="42" spans="1:65" ht="25.2" customHeight="1">
      <c r="A42" s="32"/>
      <c r="B42" s="280" t="s">
        <v>196</v>
      </c>
      <c r="C42" s="281"/>
      <c r="D42" s="282"/>
      <c r="E42" s="85"/>
      <c r="F42" s="55"/>
      <c r="G42" s="43"/>
      <c r="H42" s="45" t="s">
        <v>478</v>
      </c>
      <c r="I42" s="53"/>
      <c r="J42" s="15"/>
      <c r="K42" s="46" t="str">
        <f>IF($Z59&gt;0,IF($L$24&gt;0,IF($J$42=""," Merci d'indiquer le prix au kilo",""),""),"")</f>
        <v/>
      </c>
      <c r="L42" s="79"/>
      <c r="M42" s="85"/>
      <c r="N42" s="85"/>
      <c r="O42" s="85"/>
      <c r="P42" s="85"/>
      <c r="Q42" s="33"/>
      <c r="R42" s="6"/>
      <c r="S42" s="6"/>
      <c r="T42" s="6"/>
      <c r="U42" s="6"/>
      <c r="V42" s="6"/>
      <c r="X42" s="177"/>
      <c r="Y42" s="159" t="s">
        <v>125</v>
      </c>
      <c r="Z42" s="172">
        <f>SUM($Z$40:$Z$41)</f>
        <v>0</v>
      </c>
      <c r="AA42" s="326"/>
      <c r="AB42" s="172" t="s">
        <v>564</v>
      </c>
      <c r="AC42" s="172">
        <f>IF($C$20&gt;0,1,0)</f>
        <v>0</v>
      </c>
      <c r="AD42" s="172"/>
      <c r="AF42" s="151" t="s">
        <v>192</v>
      </c>
      <c r="AG42" s="151">
        <f>IF($AC$55=8,VLOOKUP($C$20,$X$123:$AL$146,10,0)&amp;" | "&amp;VLOOKUP($C$20,$X$93:$AL$116,10,0),0)</f>
        <v>0</v>
      </c>
      <c r="AH42" s="151">
        <f>IF($Z$21=3,IF($AG$18+$AG$19=4,IF($AK$46&lt;VLOOKUP($C$20,$X$123:$AL$146,10,0),1,0),0),0)</f>
        <v>0</v>
      </c>
      <c r="AI42" s="151">
        <f>IF($Z$21=3,IF($AG$18+$AG$19=4,IF($AK$46&lt;VLOOKUP($C$20,$X$93:$AL$116,10,0),1,0),0),0)</f>
        <v>0</v>
      </c>
      <c r="AJ42" s="151">
        <f>IF($AC$55=8,VLOOKUP($C$20,$X$123:$AL$146,11,0)&amp;" | "&amp;VLOOKUP($C$20,$X$93:$AL$116,11,0),0)</f>
        <v>0</v>
      </c>
      <c r="AK42" s="151">
        <f>IF($Z$21=3,IF($AG$18+$AG$19=4,IF($AK$46&gt;VLOOKUP($C$20,$X$123:$AL$146,11,0),1,0),0),0)</f>
        <v>0</v>
      </c>
      <c r="AL42" s="151">
        <f>IF($Z$21=3,IF($AG$18+$AG$19=4,IF($AK$46&gt;VLOOKUP($C$20,$X$93:$AL$116,11,0),1,0),0),0)</f>
        <v>0</v>
      </c>
      <c r="AO42" s="170" t="s">
        <v>11</v>
      </c>
      <c r="AP42" s="171">
        <v>1</v>
      </c>
      <c r="AR42" s="172" t="s">
        <v>78</v>
      </c>
      <c r="AS42" s="151">
        <v>0.9</v>
      </c>
      <c r="AU42" s="172" t="s">
        <v>71</v>
      </c>
      <c r="AV42" s="151">
        <v>0.8</v>
      </c>
      <c r="BD42" s="151" t="s">
        <v>410</v>
      </c>
      <c r="BE42" s="151">
        <v>187</v>
      </c>
      <c r="BF42" s="151">
        <v>16</v>
      </c>
      <c r="BG42" s="151">
        <v>13</v>
      </c>
      <c r="BH42" s="151">
        <v>1.7</v>
      </c>
      <c r="BI42" s="151">
        <v>2.1</v>
      </c>
      <c r="BJ42" s="151">
        <v>0</v>
      </c>
      <c r="BK42" s="151">
        <v>450</v>
      </c>
      <c r="BL42" s="151">
        <v>370</v>
      </c>
      <c r="BM42" s="168" t="s">
        <v>452</v>
      </c>
    </row>
    <row r="43" spans="1:65" ht="25.2" customHeight="1">
      <c r="A43" s="32"/>
      <c r="B43" s="286" t="s">
        <v>234</v>
      </c>
      <c r="C43" s="287"/>
      <c r="D43" s="288"/>
      <c r="E43" s="96"/>
      <c r="F43" s="55"/>
      <c r="G43" s="43"/>
      <c r="H43" s="45" t="s">
        <v>479</v>
      </c>
      <c r="I43" s="44"/>
      <c r="J43" s="15"/>
      <c r="K43" s="46" t="str">
        <f>IF($Z59&gt;0,IF($AC$66&gt;1,IF($J$43=""," Merci d'indiquer le prix au kilo",""),""),"")</f>
        <v/>
      </c>
      <c r="L43" s="77"/>
      <c r="M43" s="85"/>
      <c r="N43" s="85"/>
      <c r="O43" s="85"/>
      <c r="P43" s="85"/>
      <c r="Q43" s="33"/>
      <c r="R43" s="6"/>
      <c r="S43" s="6"/>
      <c r="T43" s="6"/>
      <c r="U43" s="6"/>
      <c r="V43" s="6"/>
      <c r="X43" s="177" t="s">
        <v>488</v>
      </c>
      <c r="Y43" s="172" t="s">
        <v>114</v>
      </c>
      <c r="Z43" s="172">
        <f>IF($K$9&lt;&gt;"",1,0)</f>
        <v>0</v>
      </c>
      <c r="AA43" s="326"/>
      <c r="AB43" s="172" t="s">
        <v>565</v>
      </c>
      <c r="AC43" s="172">
        <f>IF($AJ$16=1,1,IF($C$21&gt;0,1,0))</f>
        <v>0</v>
      </c>
      <c r="AD43" s="172"/>
      <c r="AF43" s="151" t="s">
        <v>193</v>
      </c>
      <c r="AG43" s="151">
        <f>IF($AC$55=8,VLOOKUP($C$20,$X$123:$AL$146,12,0)&amp;" | "&amp;VLOOKUP($C$20,$X$93:$AL$116,12,0),0)</f>
        <v>0</v>
      </c>
      <c r="AH43" s="151">
        <f>IF($Z$21=3,IF($AG$18+$AG$19=4,IF($AL$46&lt;VLOOKUP($C$20,$X$123:$AL$146,12,0),1,0),0),0)</f>
        <v>0</v>
      </c>
      <c r="AI43" s="151">
        <f>IF($Z$21=3,IF($AG$18+$AG$19=4,IF($AL$46&lt;VLOOKUP($C$20,$X$93:$AL$116,12,0),1,0),0),0)</f>
        <v>0</v>
      </c>
      <c r="AJ43" s="151">
        <f>IF($AC$55=8,VLOOKUP($C$20,$X$123:$AL$146,13,0)&amp;" | "&amp;VLOOKUP($C$20,$X$93:$AL$116,13,0),0)</f>
        <v>0</v>
      </c>
      <c r="AK43" s="151">
        <f>IF($Z$21=3,IF($AG$18+$AG$19=4,IF($AL$46&gt;VLOOKUP($C$20,$X$123:$AL$146,13,0),1,0),0),0)</f>
        <v>0</v>
      </c>
      <c r="AL43" s="151">
        <f>IF($Z$21=3,IF($AG$18+$AG$19=4,IF($AL$46&gt;VLOOKUP($C$20,$X$93:$AL$116,13,0),1,0),0),0)</f>
        <v>0</v>
      </c>
      <c r="AO43" s="170" t="s">
        <v>12</v>
      </c>
      <c r="AP43" s="171">
        <v>1</v>
      </c>
      <c r="AR43" s="172" t="s">
        <v>102</v>
      </c>
      <c r="AS43" s="151">
        <v>0.8</v>
      </c>
      <c r="AU43" s="172" t="s">
        <v>72</v>
      </c>
      <c r="AV43" s="151">
        <v>0.8</v>
      </c>
      <c r="BD43" s="151" t="s">
        <v>411</v>
      </c>
      <c r="BE43" s="151">
        <v>135</v>
      </c>
      <c r="BF43" s="151">
        <v>10.3</v>
      </c>
      <c r="BG43" s="151">
        <v>10.5</v>
      </c>
      <c r="BH43" s="151">
        <v>0</v>
      </c>
      <c r="BI43" s="151">
        <v>1.2</v>
      </c>
      <c r="BJ43" s="151">
        <v>0</v>
      </c>
      <c r="BK43" s="151">
        <v>280</v>
      </c>
      <c r="BL43" s="151">
        <v>220</v>
      </c>
      <c r="BM43" s="168" t="s">
        <v>453</v>
      </c>
    </row>
    <row r="44" spans="1:65" ht="25.2" customHeight="1">
      <c r="A44" s="32"/>
      <c r="B44" s="269" t="s">
        <v>235</v>
      </c>
      <c r="C44" s="270"/>
      <c r="D44" s="271"/>
      <c r="E44" s="97"/>
      <c r="F44" s="80"/>
      <c r="G44" s="81"/>
      <c r="H44" s="101" t="str">
        <f>IF($Z$67&gt;0,"Mon budget mensuel moyen est de : ","")</f>
        <v/>
      </c>
      <c r="I44" s="82"/>
      <c r="J44" s="100" t="str">
        <f>IF($Z$67&gt;0,ROUND($Z$67,2)&amp;"€","")</f>
        <v/>
      </c>
      <c r="K44" s="99" t="str">
        <f>IF($Z$67&gt;0," (soit "&amp;ROUND($Z$67*12/365,2)&amp;"€ par jour)","")</f>
        <v/>
      </c>
      <c r="L44" s="83"/>
      <c r="M44" s="85"/>
      <c r="N44" s="85"/>
      <c r="O44" s="85"/>
      <c r="P44" s="85"/>
      <c r="Q44" s="30"/>
      <c r="R44" s="7"/>
      <c r="S44" s="7"/>
      <c r="T44" s="7"/>
      <c r="U44" s="7"/>
      <c r="V44" s="7"/>
      <c r="X44" s="177" t="s">
        <v>489</v>
      </c>
      <c r="Y44" s="172" t="s">
        <v>115</v>
      </c>
      <c r="Z44" s="172">
        <f>IF($K$10&lt;&gt;"",1,0)</f>
        <v>0</v>
      </c>
      <c r="AA44" s="326"/>
      <c r="AB44" s="172" t="s">
        <v>566</v>
      </c>
      <c r="AC44" s="172">
        <f>IF($C$22&gt;0,1,0)</f>
        <v>0</v>
      </c>
      <c r="AD44" s="172"/>
      <c r="AF44" s="151" t="s">
        <v>194</v>
      </c>
      <c r="AG44" s="151">
        <f>IF($AC$55=8,VLOOKUP($C$20,$X$123:$AL$146,14,0)&amp;" | "&amp;VLOOKUP($C$20,$X$93:$AL$116,14,0),0)</f>
        <v>0</v>
      </c>
      <c r="AH44" s="151">
        <f>IF($AG$18+$AG$19=4,IF($AL$46&gt;0,IF(($AB$37)&lt;VLOOKUP($C$20,$X$123:$AL$146,14,0),1,0),0),0)</f>
        <v>0</v>
      </c>
      <c r="AI44" s="151">
        <f>IF($AG$18+$AG$19=4,IF($AL$46&gt;0,IF(($AB$37)&lt;VLOOKUP($C$20,$X$93:$AL$116,14,0),1,0),0),0)</f>
        <v>0</v>
      </c>
      <c r="AJ44" s="151">
        <f>IF($AC$55=8,VLOOKUP($C$20,$X$123:$AL$146,15,0)&amp;" | "&amp;VLOOKUP($C$20,$X$93:$AL$116,15,0),0)</f>
        <v>0</v>
      </c>
      <c r="AK44" s="151">
        <f>IF($AG$18+$AG$19=4,IF($AL$46&gt;0,IF(($AB$37)&gt;VLOOKUP($C$20,$X$123:$AL$146,15,0),1,0),0),0)</f>
        <v>0</v>
      </c>
      <c r="AL44" s="151">
        <f>IF($AG$18+$AG$19=4,IF($AL$46&gt;0,IF(($AB$37)&gt;VLOOKUP($C$20,$X$93:$AL$116,15,0),1,0),0),0)</f>
        <v>0</v>
      </c>
      <c r="AO44" s="170" t="s">
        <v>264</v>
      </c>
      <c r="AP44" s="171">
        <v>1</v>
      </c>
      <c r="AR44" s="172" t="s">
        <v>79</v>
      </c>
      <c r="AS44" s="151">
        <v>1.1000000000000001</v>
      </c>
      <c r="AV44" s="177"/>
      <c r="BD44" s="151" t="s">
        <v>412</v>
      </c>
      <c r="BE44" s="151">
        <v>147</v>
      </c>
      <c r="BF44" s="151">
        <v>13.8</v>
      </c>
      <c r="BG44" s="151">
        <v>9.7200000000000006</v>
      </c>
      <c r="BH44" s="151">
        <v>1.01</v>
      </c>
      <c r="BI44" s="151">
        <v>0.95</v>
      </c>
      <c r="BJ44" s="151">
        <v>0</v>
      </c>
      <c r="BK44" s="151">
        <v>70</v>
      </c>
      <c r="BL44" s="151">
        <v>184</v>
      </c>
      <c r="BM44" s="168" t="s">
        <v>454</v>
      </c>
    </row>
    <row r="45" spans="1:65" ht="18" customHeight="1">
      <c r="A45" s="32"/>
      <c r="B45" s="39"/>
      <c r="C45" s="39"/>
      <c r="D45" s="39"/>
      <c r="E45" s="98"/>
      <c r="F45" s="39"/>
      <c r="G45" s="39"/>
      <c r="H45" s="39"/>
      <c r="I45" s="39"/>
      <c r="J45" s="39"/>
      <c r="K45" s="39"/>
      <c r="L45" s="39"/>
      <c r="M45" s="85"/>
      <c r="N45" s="85"/>
      <c r="O45" s="85"/>
      <c r="P45" s="85"/>
      <c r="Q45" s="30"/>
      <c r="R45" s="28"/>
      <c r="S45" s="7"/>
      <c r="T45" s="7"/>
      <c r="U45" s="7"/>
      <c r="V45" s="7"/>
      <c r="X45" s="177" t="s">
        <v>490</v>
      </c>
      <c r="Y45" s="172" t="s">
        <v>116</v>
      </c>
      <c r="Z45" s="172">
        <f>IF($K$11&lt;&gt;"",1,0)</f>
        <v>0</v>
      </c>
      <c r="AA45" s="326"/>
      <c r="AB45" s="172" t="s">
        <v>567</v>
      </c>
      <c r="AC45" s="172">
        <f>IF($AJ$16=1,1,IF($C$23&gt;0,1,0))</f>
        <v>0</v>
      </c>
      <c r="AG45" s="151">
        <f>MAX($AH$38+$AI$38,$AK$38+$AL$38)</f>
        <v>0</v>
      </c>
      <c r="AH45" s="151">
        <f>MAX($AH$39+$AI$39,$AK$39+$AL$39)</f>
        <v>0</v>
      </c>
      <c r="AI45" s="151">
        <f>MAX($AH$40+$AI$40,$AK$40+$AL$40)</f>
        <v>0</v>
      </c>
      <c r="AJ45" s="151">
        <f>MAX($AH$41+$AI$41+$AK$41+$AL$41)</f>
        <v>0</v>
      </c>
      <c r="AK45" s="151">
        <f>MAX($AH$42+$AI$42,$AK$42+$AL$42)</f>
        <v>0</v>
      </c>
      <c r="AL45" s="151">
        <f>MAX($AH$43+$AI$43,$AK$43+$AL$43)</f>
        <v>0</v>
      </c>
      <c r="AO45" s="170" t="s">
        <v>13</v>
      </c>
      <c r="AP45" s="171">
        <v>1</v>
      </c>
      <c r="AR45" s="172" t="s">
        <v>103</v>
      </c>
      <c r="AS45" s="151">
        <v>1.2</v>
      </c>
      <c r="BD45" s="151" t="s">
        <v>413</v>
      </c>
      <c r="BE45" s="151">
        <v>47.3</v>
      </c>
      <c r="BF45" s="151">
        <v>10.3</v>
      </c>
      <c r="BG45" s="151">
        <v>0.17</v>
      </c>
      <c r="BH45" s="151">
        <v>1.1200000000000001</v>
      </c>
      <c r="BI45" s="151">
        <v>0.6</v>
      </c>
      <c r="BJ45" s="151">
        <v>0</v>
      </c>
      <c r="BK45" s="151">
        <v>6.67</v>
      </c>
      <c r="BL45" s="151">
        <v>14.7</v>
      </c>
      <c r="BM45" s="168" t="s">
        <v>455</v>
      </c>
    </row>
    <row r="46" spans="1:65" ht="25.2" customHeight="1">
      <c r="A46" s="32"/>
      <c r="B46" s="199" t="s">
        <v>571</v>
      </c>
      <c r="C46" s="200"/>
      <c r="D46" s="112"/>
      <c r="E46" s="112"/>
      <c r="F46" s="112"/>
      <c r="G46" s="112"/>
      <c r="H46" s="112"/>
      <c r="I46" s="112"/>
      <c r="J46" s="112"/>
      <c r="K46" s="112"/>
      <c r="L46" s="113"/>
      <c r="M46" s="85"/>
      <c r="N46" s="85"/>
      <c r="O46" s="85"/>
      <c r="P46" s="85"/>
      <c r="Q46" s="30"/>
      <c r="R46" s="7"/>
      <c r="S46" s="7"/>
      <c r="T46" s="7"/>
      <c r="U46" s="7"/>
      <c r="V46" s="7"/>
      <c r="X46" s="177"/>
      <c r="Y46" s="172" t="s">
        <v>117</v>
      </c>
      <c r="Z46" s="172">
        <f>IF($K$12&lt;&gt;"",1,0)</f>
        <v>0</v>
      </c>
      <c r="AA46" s="326"/>
      <c r="AB46" s="172" t="s">
        <v>568</v>
      </c>
      <c r="AC46" s="172">
        <f>IF($C$24&gt;0,1,0)</f>
        <v>0</v>
      </c>
      <c r="AF46" s="190">
        <f>IF($Z$21=3,ROUND($AA$80,2),0)</f>
        <v>0</v>
      </c>
      <c r="AG46" s="190">
        <f>IF($Z$21=3,ROUND($AB$80,2),0)</f>
        <v>0</v>
      </c>
      <c r="AH46" s="190">
        <f>IF($Z$21=3,ROUND($AC$80,2),0)</f>
        <v>0</v>
      </c>
      <c r="AI46" s="190">
        <f>IF($Z$21=3,ROUND($AE$80,2),0)</f>
        <v>0</v>
      </c>
      <c r="AJ46" s="190">
        <f>IF($Z$21=3,ROUND($AD$80,2),0)</f>
        <v>0</v>
      </c>
      <c r="AK46" s="190">
        <f>IF($Z$21=3,$Z$13,0)</f>
        <v>0</v>
      </c>
      <c r="AL46" s="190">
        <f>IF($Z$21=3,$Z$14,0)</f>
        <v>0</v>
      </c>
      <c r="AO46" s="170" t="s">
        <v>265</v>
      </c>
      <c r="AP46" s="171">
        <v>1</v>
      </c>
      <c r="AR46" s="151"/>
      <c r="AS46" s="151"/>
    </row>
    <row r="47" spans="1:65" ht="25.2" customHeight="1">
      <c r="A47" s="32"/>
      <c r="B47" s="201"/>
      <c r="C47" s="202"/>
      <c r="D47" s="114"/>
      <c r="E47" s="115"/>
      <c r="F47" s="115"/>
      <c r="G47" s="115"/>
      <c r="H47" s="12"/>
      <c r="I47" s="12"/>
      <c r="J47" s="12"/>
      <c r="K47" s="12"/>
      <c r="L47" s="116"/>
      <c r="M47" s="85"/>
      <c r="N47" s="85"/>
      <c r="O47" s="85"/>
      <c r="P47" s="85"/>
      <c r="Q47" s="30"/>
      <c r="R47" s="7"/>
      <c r="S47" s="7"/>
      <c r="T47" s="7"/>
      <c r="U47" s="7"/>
      <c r="V47" s="7"/>
      <c r="X47" s="177" t="s">
        <v>491</v>
      </c>
      <c r="Y47" s="172" t="s">
        <v>118</v>
      </c>
      <c r="Z47" s="172">
        <f>IF($K$13&lt;&gt;"",1,0)</f>
        <v>0</v>
      </c>
      <c r="AA47" s="326"/>
      <c r="AB47" s="172" t="s">
        <v>569</v>
      </c>
      <c r="AC47" s="172">
        <f>IF($C$25&gt;0,1,0)</f>
        <v>0</v>
      </c>
      <c r="AF47" s="151" t="str">
        <f>AF37</f>
        <v>Protéines (RPC AUTO)</v>
      </c>
      <c r="AG47" s="151" t="str">
        <f>AF38</f>
        <v>Lipides</v>
      </c>
      <c r="AH47" s="151" t="str">
        <f>AF39</f>
        <v>Glucides</v>
      </c>
      <c r="AI47" s="151" t="str">
        <f>AF40</f>
        <v>Fibres</v>
      </c>
      <c r="AJ47" s="151" t="str">
        <f>AF41</f>
        <v>Cendres</v>
      </c>
      <c r="AK47" s="151" t="str">
        <f>"Calcium g / Mcal BE"</f>
        <v>Calcium g / Mcal BE</v>
      </c>
      <c r="AL47" s="151" t="str">
        <f>"P g / Mcal BE"</f>
        <v>P g / Mcal BE</v>
      </c>
      <c r="AO47" s="170" t="s">
        <v>266</v>
      </c>
      <c r="AP47" s="171">
        <v>1</v>
      </c>
      <c r="AR47" s="151"/>
      <c r="AS47" s="151"/>
    </row>
    <row r="48" spans="1:65" ht="25.2" customHeight="1">
      <c r="A48" s="32"/>
      <c r="B48" s="117"/>
      <c r="C48" s="12"/>
      <c r="D48" s="12"/>
      <c r="E48" s="12"/>
      <c r="F48" s="12"/>
      <c r="G48" s="12"/>
      <c r="H48" s="12"/>
      <c r="I48" s="12"/>
      <c r="J48" s="12"/>
      <c r="K48" s="12"/>
      <c r="L48" s="116"/>
      <c r="M48" s="85"/>
      <c r="N48" s="85"/>
      <c r="O48" s="85"/>
      <c r="P48" s="85"/>
      <c r="Q48" s="30"/>
      <c r="R48" s="7"/>
      <c r="S48" s="7"/>
      <c r="T48" s="7"/>
      <c r="U48" s="7"/>
      <c r="V48" s="7"/>
      <c r="X48" s="177"/>
      <c r="Y48" s="159" t="s">
        <v>123</v>
      </c>
      <c r="Z48" s="159">
        <f>SUM($Z$43:$Z$47)</f>
        <v>0</v>
      </c>
      <c r="AA48" s="326"/>
      <c r="AB48" s="172" t="s">
        <v>114</v>
      </c>
      <c r="AC48" s="172">
        <f>IF($I$9&lt;&gt;"",1,0)</f>
        <v>0</v>
      </c>
      <c r="AD48" s="160" t="s">
        <v>200</v>
      </c>
      <c r="AK48" s="151" t="s">
        <v>194</v>
      </c>
      <c r="AL48" s="190">
        <f>IF($Z$21=3,IF($AG$18+$AG$19=4,$AB$37,0),0)</f>
        <v>0</v>
      </c>
      <c r="AO48" s="170" t="s">
        <v>267</v>
      </c>
      <c r="AP48" s="171">
        <v>1</v>
      </c>
      <c r="AR48" s="151"/>
      <c r="AS48" s="151"/>
    </row>
    <row r="49" spans="1:43" ht="25.2" customHeight="1">
      <c r="A49" s="32"/>
      <c r="B49" s="117"/>
      <c r="C49" s="12"/>
      <c r="D49" s="12"/>
      <c r="E49" s="118"/>
      <c r="F49" s="134" t="s">
        <v>572</v>
      </c>
      <c r="G49" s="118"/>
      <c r="H49" s="118"/>
      <c r="I49" s="118"/>
      <c r="J49" s="118"/>
      <c r="K49" s="118"/>
      <c r="L49" s="119"/>
      <c r="M49" s="85"/>
      <c r="N49" s="85"/>
      <c r="O49" s="85"/>
      <c r="P49" s="85"/>
      <c r="Q49" s="30"/>
      <c r="R49" s="7"/>
      <c r="S49" s="7"/>
      <c r="T49" s="7"/>
      <c r="U49" s="7"/>
      <c r="V49" s="7"/>
      <c r="X49" s="151">
        <f>IF($K$18&lt;&gt;"",IF($K$18&gt;0,1,0),0)</f>
        <v>0</v>
      </c>
      <c r="Y49" s="172" t="s">
        <v>119</v>
      </c>
      <c r="Z49" s="172">
        <f>IF($K$18&lt;&gt;"",1,0)</f>
        <v>0</v>
      </c>
      <c r="AA49" s="326"/>
      <c r="AB49" s="172" t="s">
        <v>115</v>
      </c>
      <c r="AC49" s="172">
        <f>IF($I$10&lt;&gt;"",1,0)</f>
        <v>0</v>
      </c>
      <c r="AD49" s="160" t="s">
        <v>201</v>
      </c>
      <c r="AL49" s="151">
        <f>MAX($AH$44+$AI$44,$AK$44+$AL$44)</f>
        <v>0</v>
      </c>
      <c r="AO49" s="170" t="s">
        <v>268</v>
      </c>
      <c r="AP49" s="171">
        <v>1</v>
      </c>
    </row>
    <row r="50" spans="1:43" ht="25.2" customHeight="1">
      <c r="A50" s="32"/>
      <c r="B50" s="120"/>
      <c r="C50" s="28"/>
      <c r="D50" s="28"/>
      <c r="E50" s="121"/>
      <c r="F50" s="135" t="s">
        <v>549</v>
      </c>
      <c r="G50" s="122"/>
      <c r="H50" s="122"/>
      <c r="I50" s="122"/>
      <c r="J50" s="122"/>
      <c r="K50" s="203" t="s">
        <v>575</v>
      </c>
      <c r="L50" s="204"/>
      <c r="M50" s="85"/>
      <c r="N50" s="85"/>
      <c r="O50" s="85"/>
      <c r="P50" s="85"/>
      <c r="Q50" s="30"/>
      <c r="R50" s="7"/>
      <c r="S50" s="7"/>
      <c r="T50" s="7"/>
      <c r="U50" s="7"/>
      <c r="V50" s="7"/>
      <c r="X50" s="151">
        <f>IF($K$19&lt;&gt;"",IF($K$19&gt;0,1,0),0)</f>
        <v>0</v>
      </c>
      <c r="Y50" s="172" t="s">
        <v>120</v>
      </c>
      <c r="Z50" s="172">
        <f>IF($K$19&lt;&gt;"",1,0)</f>
        <v>0</v>
      </c>
      <c r="AA50" s="326"/>
      <c r="AB50" s="172" t="s">
        <v>116</v>
      </c>
      <c r="AC50" s="172">
        <f>IF($I$11&lt;&gt;"",1,0)</f>
        <v>0</v>
      </c>
      <c r="AD50" s="160" t="s">
        <v>202</v>
      </c>
      <c r="AO50" s="170" t="s">
        <v>269</v>
      </c>
      <c r="AP50" s="171">
        <v>1</v>
      </c>
    </row>
    <row r="51" spans="1:43" ht="25.2" customHeight="1">
      <c r="A51" s="32"/>
      <c r="B51" s="120"/>
      <c r="C51" s="28"/>
      <c r="D51" s="28"/>
      <c r="E51" s="121"/>
      <c r="F51" s="135" t="s">
        <v>550</v>
      </c>
      <c r="G51" s="122"/>
      <c r="H51" s="122"/>
      <c r="I51" s="122"/>
      <c r="J51" s="122"/>
      <c r="K51" s="123"/>
      <c r="L51" s="124"/>
      <c r="M51" s="85"/>
      <c r="N51" s="85"/>
      <c r="O51" s="85"/>
      <c r="P51" s="85"/>
      <c r="Q51" s="30"/>
      <c r="R51" s="7"/>
      <c r="S51" s="7"/>
      <c r="T51" s="7"/>
      <c r="U51" s="7"/>
      <c r="V51" s="7"/>
      <c r="Y51" s="159" t="s">
        <v>126</v>
      </c>
      <c r="Z51" s="172">
        <f>SUM($Z$49:$Z$50)</f>
        <v>0</v>
      </c>
      <c r="AA51" s="326"/>
      <c r="AB51" s="172" t="s">
        <v>117</v>
      </c>
      <c r="AC51" s="172">
        <f>IF($I$12&lt;&gt;"",1,0)</f>
        <v>0</v>
      </c>
      <c r="AD51" s="160" t="s">
        <v>203</v>
      </c>
      <c r="AF51" s="161" t="s">
        <v>501</v>
      </c>
      <c r="AG51" s="161" t="s">
        <v>502</v>
      </c>
      <c r="AH51" s="161">
        <f>IF($Z$21=3,SUM($AH$38:$AH$44)+SUM($AK$37:$AK$44),0)</f>
        <v>0</v>
      </c>
      <c r="AI51" s="161">
        <f>IF($Z$21=3,SUM($AI$38:$AI$44)+SUM($AL$37:$AL$44),0)</f>
        <v>0</v>
      </c>
      <c r="AJ51" s="161">
        <f>IF($AI$51&gt;0,2,IF($AH$51&gt;0,1,0))</f>
        <v>0</v>
      </c>
      <c r="AK51" s="161" t="s">
        <v>503</v>
      </c>
      <c r="AL51" s="161">
        <f>IF($AH$37+$AI$37&gt;0,$AH$37+$AI$37,$AJ$51)</f>
        <v>0</v>
      </c>
      <c r="AO51" s="170" t="s">
        <v>270</v>
      </c>
      <c r="AP51" s="171">
        <v>1</v>
      </c>
    </row>
    <row r="52" spans="1:43" ht="25.2" customHeight="1">
      <c r="A52" s="32"/>
      <c r="B52" s="120"/>
      <c r="C52" s="28"/>
      <c r="D52" s="28"/>
      <c r="E52" s="125"/>
      <c r="F52" s="135" t="s">
        <v>551</v>
      </c>
      <c r="G52" s="122"/>
      <c r="H52" s="122"/>
      <c r="I52" s="122"/>
      <c r="J52" s="122"/>
      <c r="K52" s="122"/>
      <c r="L52" s="124"/>
      <c r="M52" s="85"/>
      <c r="N52" s="85"/>
      <c r="O52" s="85"/>
      <c r="P52" s="85"/>
      <c r="Q52" s="30"/>
      <c r="R52" s="7"/>
      <c r="S52" s="7"/>
      <c r="T52" s="7"/>
      <c r="U52" s="7"/>
      <c r="V52" s="7"/>
      <c r="Y52" s="172" t="s">
        <v>127</v>
      </c>
      <c r="Z52" s="172">
        <f>IF($L$23&lt;&gt;"",1,0)</f>
        <v>1</v>
      </c>
      <c r="AA52" s="326"/>
      <c r="AB52" s="172" t="s">
        <v>118</v>
      </c>
      <c r="AC52" s="172">
        <f>IF($I$13&lt;&gt;"",1,0)</f>
        <v>0</v>
      </c>
      <c r="AD52" s="160" t="s">
        <v>204</v>
      </c>
      <c r="AO52" s="170" t="s">
        <v>271</v>
      </c>
      <c r="AP52" s="171">
        <v>0.9</v>
      </c>
    </row>
    <row r="53" spans="1:43" ht="25.2" customHeight="1">
      <c r="A53" s="32"/>
      <c r="B53" s="120"/>
      <c r="C53" s="28"/>
      <c r="D53" s="28"/>
      <c r="E53" s="122"/>
      <c r="F53" s="136"/>
      <c r="G53" s="122"/>
      <c r="H53" s="122"/>
      <c r="I53" s="122"/>
      <c r="J53" s="122"/>
      <c r="K53" s="122"/>
      <c r="L53" s="124"/>
      <c r="M53" s="85"/>
      <c r="N53" s="85"/>
      <c r="O53" s="85"/>
      <c r="P53" s="85"/>
      <c r="Q53" s="30"/>
      <c r="R53" s="7"/>
      <c r="S53" s="7"/>
      <c r="T53" s="7"/>
      <c r="U53" s="7"/>
      <c r="V53" s="7"/>
      <c r="Y53" s="159" t="s">
        <v>128</v>
      </c>
      <c r="Z53" s="172">
        <f>$Z$52</f>
        <v>1</v>
      </c>
      <c r="AA53" s="326"/>
      <c r="AB53" s="172"/>
      <c r="AC53" s="172"/>
      <c r="AO53" s="170" t="s">
        <v>272</v>
      </c>
      <c r="AP53" s="171">
        <v>1</v>
      </c>
    </row>
    <row r="54" spans="1:43" ht="25.2" customHeight="1">
      <c r="A54" s="32"/>
      <c r="B54" s="120"/>
      <c r="C54" s="28"/>
      <c r="D54" s="28"/>
      <c r="E54" s="121"/>
      <c r="F54" s="135" t="s">
        <v>573</v>
      </c>
      <c r="G54" s="122"/>
      <c r="H54" s="122"/>
      <c r="I54" s="122"/>
      <c r="J54" s="122"/>
      <c r="K54" s="122"/>
      <c r="L54" s="124"/>
      <c r="M54" s="85"/>
      <c r="N54" s="85"/>
      <c r="O54" s="85"/>
      <c r="P54" s="85"/>
      <c r="Q54" s="30"/>
      <c r="R54" s="7"/>
      <c r="S54" s="7"/>
      <c r="T54" s="7"/>
      <c r="U54" s="7"/>
      <c r="V54" s="7"/>
      <c r="Y54" s="172" t="s">
        <v>131</v>
      </c>
      <c r="Z54" s="172">
        <f>IF($I$16&gt;0,1,0)</f>
        <v>0</v>
      </c>
      <c r="AA54" s="326"/>
      <c r="AB54" s="172"/>
      <c r="AC54" s="172"/>
      <c r="AO54" s="170" t="s">
        <v>273</v>
      </c>
      <c r="AP54" s="171">
        <v>1</v>
      </c>
    </row>
    <row r="55" spans="1:43" ht="25.2" customHeight="1">
      <c r="A55" s="30"/>
      <c r="B55" s="120"/>
      <c r="C55" s="28"/>
      <c r="D55" s="28"/>
      <c r="E55" s="121"/>
      <c r="F55" s="150" t="s">
        <v>574</v>
      </c>
      <c r="G55" s="122"/>
      <c r="H55" s="122"/>
      <c r="I55" s="122"/>
      <c r="J55" s="122"/>
      <c r="K55" s="122"/>
      <c r="L55" s="124"/>
      <c r="M55" s="85"/>
      <c r="N55" s="85"/>
      <c r="O55" s="85"/>
      <c r="P55" s="85"/>
      <c r="Q55" s="30"/>
      <c r="R55" s="7"/>
      <c r="S55" s="7"/>
      <c r="T55" s="7"/>
      <c r="U55" s="7"/>
      <c r="V55" s="7"/>
      <c r="Y55" s="172" t="s">
        <v>130</v>
      </c>
      <c r="Z55" s="172">
        <f>IF($K$16&gt;0,1,0)</f>
        <v>0</v>
      </c>
      <c r="AA55" s="326"/>
      <c r="AB55" s="188" t="s">
        <v>89</v>
      </c>
      <c r="AC55" s="159">
        <f>SUM($AC$40:$AC$47)</f>
        <v>0</v>
      </c>
      <c r="AO55" s="170" t="s">
        <v>274</v>
      </c>
      <c r="AP55" s="171">
        <v>1</v>
      </c>
    </row>
    <row r="56" spans="1:43" ht="25.2" customHeight="1">
      <c r="A56" s="30"/>
      <c r="B56" s="120"/>
      <c r="C56" s="28"/>
      <c r="D56" s="28"/>
      <c r="E56" s="121"/>
      <c r="F56" s="135"/>
      <c r="G56" s="122"/>
      <c r="H56" s="122"/>
      <c r="I56" s="122"/>
      <c r="J56" s="122"/>
      <c r="K56" s="122"/>
      <c r="L56" s="124"/>
      <c r="M56" s="85"/>
      <c r="N56" s="85"/>
      <c r="O56" s="85"/>
      <c r="P56" s="85"/>
      <c r="Q56" s="30"/>
      <c r="R56" s="7"/>
      <c r="S56" s="7"/>
      <c r="T56" s="7"/>
      <c r="U56" s="7"/>
      <c r="V56" s="7"/>
      <c r="Y56" s="172" t="s">
        <v>129</v>
      </c>
      <c r="Z56" s="172">
        <f>IF($B$29&gt;0,1,0)</f>
        <v>0</v>
      </c>
      <c r="AA56" s="326"/>
      <c r="AB56" s="188" t="s">
        <v>113</v>
      </c>
      <c r="AC56" s="159">
        <f>SUM($AC$48:$AC$52)</f>
        <v>0</v>
      </c>
      <c r="AO56" s="170" t="s">
        <v>14</v>
      </c>
      <c r="AP56" s="171">
        <v>1</v>
      </c>
    </row>
    <row r="57" spans="1:43" ht="25.2" customHeight="1">
      <c r="A57" s="30"/>
      <c r="B57" s="120"/>
      <c r="C57" s="28"/>
      <c r="D57" s="28"/>
      <c r="E57" s="28"/>
      <c r="F57" s="122"/>
      <c r="G57" s="122"/>
      <c r="H57" s="122"/>
      <c r="I57" s="122"/>
      <c r="J57" s="122"/>
      <c r="K57" s="122"/>
      <c r="L57" s="126"/>
      <c r="M57" s="85"/>
      <c r="N57" s="85"/>
      <c r="O57" s="85"/>
      <c r="P57" s="85"/>
      <c r="Q57" s="30"/>
      <c r="R57" s="7"/>
      <c r="S57" s="7"/>
      <c r="T57" s="7"/>
      <c r="U57" s="7"/>
      <c r="V57" s="7"/>
      <c r="Y57" s="164" t="s">
        <v>142</v>
      </c>
      <c r="Z57" s="164">
        <f>IF($AC$56=5,1,0)</f>
        <v>0</v>
      </c>
      <c r="AA57" s="237"/>
      <c r="AB57" s="167" t="s">
        <v>144</v>
      </c>
      <c r="AC57" s="164">
        <f>IF($Z$42+$AC$56=7,1,0)</f>
        <v>0</v>
      </c>
      <c r="AO57" s="170" t="s">
        <v>15</v>
      </c>
      <c r="AP57" s="171">
        <v>1.1000000000000001</v>
      </c>
    </row>
    <row r="58" spans="1:43" ht="25.2" customHeight="1">
      <c r="A58" s="30"/>
      <c r="B58" s="127"/>
      <c r="C58" s="128"/>
      <c r="D58" s="128"/>
      <c r="E58" s="128"/>
      <c r="F58" s="129"/>
      <c r="G58" s="129"/>
      <c r="H58" s="129"/>
      <c r="I58" s="129"/>
      <c r="J58" s="129"/>
      <c r="K58" s="129"/>
      <c r="L58" s="130" t="str">
        <f>"Ce calculateur est optimisé pour Microsoft Excel (2007 et supérieur) mais il fonctionne également avec Apache OpenOffice et Google Sheets "</f>
        <v xml:space="preserve">Ce calculateur est optimisé pour Microsoft Excel (2007 et supérieur) mais il fonctionne également avec Apache OpenOffice et Google Sheets </v>
      </c>
      <c r="M58" s="85"/>
      <c r="N58" s="85"/>
      <c r="O58" s="85"/>
      <c r="P58" s="85"/>
      <c r="Q58" s="33"/>
      <c r="R58" s="6"/>
      <c r="S58" s="6"/>
      <c r="T58" s="6"/>
      <c r="U58" s="6"/>
      <c r="V58" s="6"/>
      <c r="Y58" s="164" t="s">
        <v>143</v>
      </c>
      <c r="Z58" s="164">
        <f>IF($Z$48=5,1,0)</f>
        <v>0</v>
      </c>
      <c r="AA58" s="237"/>
      <c r="AB58" s="167" t="s">
        <v>145</v>
      </c>
      <c r="AC58" s="164">
        <f>IF($Z$51+$Z$48=7,1,0)</f>
        <v>0</v>
      </c>
      <c r="AG58" s="229" t="s">
        <v>106</v>
      </c>
      <c r="AH58" s="242"/>
      <c r="AI58" s="242"/>
      <c r="AJ58" s="242"/>
      <c r="AK58" s="242"/>
      <c r="AO58" s="170" t="s">
        <v>275</v>
      </c>
      <c r="AP58" s="171">
        <v>1</v>
      </c>
    </row>
    <row r="59" spans="1:43" ht="25.2" customHeight="1">
      <c r="A59" s="30"/>
      <c r="B59" s="131"/>
      <c r="C59" s="131"/>
      <c r="D59" s="132"/>
      <c r="E59" s="132"/>
      <c r="F59" s="132"/>
      <c r="G59" s="132"/>
      <c r="H59" s="132"/>
      <c r="I59" s="132"/>
      <c r="J59" s="132"/>
      <c r="K59" s="132"/>
      <c r="L59" s="133"/>
      <c r="M59" s="85"/>
      <c r="N59" s="85"/>
      <c r="O59" s="85"/>
      <c r="P59" s="85"/>
      <c r="Q59" s="33"/>
      <c r="R59" s="6"/>
      <c r="S59" s="6"/>
      <c r="T59" s="6"/>
      <c r="U59" s="6"/>
      <c r="V59" s="6"/>
      <c r="Y59" s="159" t="s">
        <v>146</v>
      </c>
      <c r="Z59" s="172">
        <f>IF(SUM($Z$57:$Z$58)&gt;0,1,0)</f>
        <v>0</v>
      </c>
      <c r="AA59" s="237"/>
      <c r="AB59" s="188" t="s">
        <v>147</v>
      </c>
      <c r="AC59" s="172">
        <f>IF(SUM($AC$57:$AC$58)*$AD$11*$AD$12&gt;0,1,0)</f>
        <v>0</v>
      </c>
      <c r="AG59" s="159" t="s">
        <v>104</v>
      </c>
      <c r="AH59" s="321">
        <f>$C$20</f>
        <v>0</v>
      </c>
      <c r="AI59" s="321"/>
      <c r="AJ59" s="321"/>
      <c r="AK59" s="151">
        <f>IF($AC$55=8,VLOOKUP($AH$59,$AU$4:$BA$27,6,0),0)</f>
        <v>0</v>
      </c>
      <c r="AO59" s="170" t="s">
        <v>276</v>
      </c>
      <c r="AP59" s="171">
        <v>1</v>
      </c>
      <c r="AQ59" s="165">
        <v>1</v>
      </c>
    </row>
    <row r="60" spans="1:43" ht="25.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85"/>
      <c r="N60" s="85"/>
      <c r="O60" s="85"/>
      <c r="P60" s="85"/>
      <c r="Q60" s="33"/>
      <c r="R60" s="6"/>
      <c r="S60" s="6"/>
      <c r="T60" s="6"/>
      <c r="U60" s="6"/>
      <c r="V60" s="6"/>
      <c r="Y60" s="151"/>
      <c r="Z60" s="151"/>
      <c r="AB60" s="158"/>
      <c r="AD60" s="168"/>
      <c r="AG60" s="294" t="str">
        <f>"Facteur de correction    "</f>
        <v xml:space="preserve">Facteur de correction    </v>
      </c>
      <c r="AH60" s="294"/>
      <c r="AI60" s="294"/>
      <c r="AJ60" s="294"/>
      <c r="AK60" s="151">
        <f>IF($E$19&gt;1,1,$E$19)*IF($E$20&gt;1,1,$E$20)*IF($E$22&gt;1,1,$E$22)*IF($E$23&gt;1,1,$E$23)</f>
        <v>1</v>
      </c>
      <c r="AO60" s="170" t="s">
        <v>277</v>
      </c>
      <c r="AP60" s="171">
        <v>1.1000000000000001</v>
      </c>
    </row>
    <row r="61" spans="1:43" ht="25.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85"/>
      <c r="N61" s="85"/>
      <c r="O61" s="85"/>
      <c r="P61" s="85"/>
      <c r="Q61" s="33"/>
      <c r="R61" s="6"/>
      <c r="S61" s="6"/>
      <c r="T61" s="6"/>
      <c r="U61" s="6"/>
      <c r="V61" s="6"/>
      <c r="Y61" s="168" t="s">
        <v>218</v>
      </c>
      <c r="Z61" s="159">
        <f>IF($J$41&lt;&gt;"",1,0)</f>
        <v>0</v>
      </c>
      <c r="AB61" s="183" t="s">
        <v>219</v>
      </c>
      <c r="AC61" s="159">
        <f>IF($I$15&lt;&gt;"",1,0)</f>
        <v>1</v>
      </c>
      <c r="AD61" s="168"/>
      <c r="AG61" s="294" t="str">
        <f>"Lock à RPC MAXIMUM (si différent de 1)    "</f>
        <v xml:space="preserve">Lock à RPC MAXIMUM (si différent de 1)    </v>
      </c>
      <c r="AH61" s="294"/>
      <c r="AI61" s="294"/>
      <c r="AJ61" s="294"/>
      <c r="AK61" s="151">
        <f>IF($AC$55=8,VLOOKUP($AH$59,$AU$4:$BA$27,7,0),0)</f>
        <v>0</v>
      </c>
      <c r="AL61" s="177" t="s">
        <v>112</v>
      </c>
      <c r="AO61" s="170" t="s">
        <v>278</v>
      </c>
      <c r="AP61" s="171">
        <v>1</v>
      </c>
    </row>
    <row r="62" spans="1:43" ht="25.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85"/>
      <c r="N62" s="85"/>
      <c r="O62" s="85"/>
      <c r="P62" s="85"/>
      <c r="Q62" s="33"/>
      <c r="R62" s="11"/>
      <c r="S62" s="11"/>
      <c r="T62" s="11"/>
      <c r="U62" s="11"/>
      <c r="V62" s="11"/>
      <c r="Y62" s="168" t="s">
        <v>217</v>
      </c>
      <c r="Z62" s="159">
        <f>IF($J$42&lt;&gt;"",1,0)</f>
        <v>0</v>
      </c>
      <c r="AB62" s="183" t="s">
        <v>220</v>
      </c>
      <c r="AC62" s="159">
        <f>IF($K$15&lt;&gt;"",1,0)</f>
        <v>1</v>
      </c>
      <c r="AD62" s="168"/>
      <c r="AG62" s="294" t="str">
        <f>"RESULTAT RPC    "</f>
        <v xml:space="preserve">RESULTAT RPC    </v>
      </c>
      <c r="AH62" s="294"/>
      <c r="AI62" s="294"/>
      <c r="AJ62" s="294"/>
      <c r="AK62" s="162">
        <f>IF($AK$61=1,$AK$59/$AK$60,IF($AK$59/$AK$60&gt;$AK$61,$AK$61,$AK$59/$AK$60))</f>
        <v>0</v>
      </c>
      <c r="AL62" s="162">
        <f>$AK$59/$AK$60</f>
        <v>0</v>
      </c>
      <c r="AO62" s="170" t="s">
        <v>279</v>
      </c>
      <c r="AP62" s="171">
        <v>1</v>
      </c>
    </row>
    <row r="63" spans="1:43" ht="25.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85"/>
      <c r="N63" s="85"/>
      <c r="O63" s="85"/>
      <c r="P63" s="85"/>
      <c r="Q63" s="33"/>
      <c r="R63" s="10"/>
      <c r="S63" s="10"/>
      <c r="T63" s="10"/>
      <c r="U63" s="10"/>
      <c r="V63" s="10"/>
      <c r="X63" s="159" t="s">
        <v>457</v>
      </c>
      <c r="Y63" s="168" t="s">
        <v>456</v>
      </c>
      <c r="Z63" s="159">
        <f>IF($J$43&lt;&gt;"",1,0)</f>
        <v>0</v>
      </c>
      <c r="AB63" s="158"/>
      <c r="AD63" s="168"/>
      <c r="AE63" s="168"/>
      <c r="AF63" s="168"/>
      <c r="AG63" s="168"/>
      <c r="AH63" s="168"/>
      <c r="AI63" s="168"/>
      <c r="AJ63" s="168"/>
      <c r="AK63" s="168"/>
      <c r="AL63" s="168"/>
      <c r="AO63" s="170" t="s">
        <v>16</v>
      </c>
      <c r="AP63" s="171">
        <v>0.8</v>
      </c>
    </row>
    <row r="64" spans="1:43" ht="25.2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85"/>
      <c r="N64" s="85"/>
      <c r="O64" s="85"/>
      <c r="P64" s="85"/>
      <c r="Q64" s="33"/>
      <c r="R64" s="10"/>
      <c r="S64" s="10"/>
      <c r="T64" s="10"/>
      <c r="U64" s="10"/>
      <c r="V64" s="10"/>
      <c r="Y64" s="242" t="s">
        <v>229</v>
      </c>
      <c r="Z64" s="242"/>
      <c r="AB64" s="158" t="s">
        <v>458</v>
      </c>
      <c r="AC64" s="172">
        <f>IF($J$22&lt;&gt;"",1,0)</f>
        <v>0</v>
      </c>
      <c r="AD64" s="168" t="s">
        <v>457</v>
      </c>
      <c r="AE64" s="168"/>
      <c r="AF64" s="229" t="s">
        <v>484</v>
      </c>
      <c r="AG64" s="229"/>
      <c r="AH64" s="229"/>
      <c r="AI64" s="229"/>
      <c r="AJ64" s="229"/>
      <c r="AK64" s="229"/>
      <c r="AL64" s="229"/>
      <c r="AO64" s="170" t="s">
        <v>17</v>
      </c>
      <c r="AP64" s="171">
        <v>0.9</v>
      </c>
    </row>
    <row r="65" spans="1:42" ht="25.2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85"/>
      <c r="N65" s="85"/>
      <c r="O65" s="85"/>
      <c r="P65" s="85"/>
      <c r="Q65" s="33"/>
      <c r="R65" s="10"/>
      <c r="S65" s="10"/>
      <c r="T65" s="10"/>
      <c r="U65" s="10"/>
      <c r="V65" s="10"/>
      <c r="X65" s="151" t="s">
        <v>475</v>
      </c>
      <c r="Y65" s="177" t="s">
        <v>224</v>
      </c>
      <c r="Z65" s="151">
        <f>IF($J$41&gt;0,$J$41/1000*365/12*$Z$16,0)</f>
        <v>0</v>
      </c>
      <c r="AB65" s="158" t="s">
        <v>459</v>
      </c>
      <c r="AC65" s="172">
        <f>IF($L$22&gt;0,1,0)</f>
        <v>0</v>
      </c>
      <c r="AD65" s="168">
        <f>IF($L$22&lt;&gt;"",1,0)</f>
        <v>0</v>
      </c>
      <c r="AE65" s="168"/>
      <c r="AF65" s="151" t="s">
        <v>576</v>
      </c>
      <c r="AG65" s="168" t="s">
        <v>577</v>
      </c>
      <c r="AH65" s="168"/>
      <c r="AI65" s="168"/>
      <c r="AJ65" s="168"/>
      <c r="AK65" s="168"/>
      <c r="AL65" s="165"/>
      <c r="AO65" s="170" t="s">
        <v>280</v>
      </c>
      <c r="AP65" s="171">
        <v>1</v>
      </c>
    </row>
    <row r="66" spans="1:42" ht="25.2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85"/>
      <c r="N66" s="85"/>
      <c r="O66" s="85"/>
      <c r="P66" s="85"/>
      <c r="Q66" s="33"/>
      <c r="R66" s="10"/>
      <c r="S66" s="10"/>
      <c r="T66" s="10"/>
      <c r="U66" s="10"/>
      <c r="V66" s="10"/>
      <c r="X66" s="151">
        <f>IF($J$43&gt;0,$J$43/1000*365/12*$L$22,0)</f>
        <v>0</v>
      </c>
      <c r="Y66" s="177" t="s">
        <v>225</v>
      </c>
      <c r="Z66" s="151">
        <f>IF($J$42&gt;0,$J$42/1000*365/12*$Z$17,0)</f>
        <v>0</v>
      </c>
      <c r="AC66" s="164">
        <f>SUM(AC64:AC65)</f>
        <v>0</v>
      </c>
      <c r="AD66" s="168"/>
      <c r="AF66" s="151" t="s">
        <v>485</v>
      </c>
      <c r="AG66" s="168" t="s">
        <v>486</v>
      </c>
      <c r="AH66" s="168"/>
      <c r="AI66" s="168"/>
      <c r="AJ66" s="168"/>
      <c r="AK66" s="168"/>
      <c r="AL66" s="165"/>
      <c r="AO66" s="170" t="s">
        <v>281</v>
      </c>
      <c r="AP66" s="171">
        <v>0.9</v>
      </c>
    </row>
    <row r="67" spans="1:42" ht="20.149999999999999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85"/>
      <c r="N67" s="85"/>
      <c r="O67" s="85"/>
      <c r="P67" s="85"/>
      <c r="Q67" s="33"/>
      <c r="R67" s="10"/>
      <c r="S67" s="10"/>
      <c r="T67" s="10"/>
      <c r="U67" s="10"/>
      <c r="V67" s="10"/>
      <c r="X67" s="151" t="s">
        <v>476</v>
      </c>
      <c r="Y67" s="160" t="s">
        <v>226</v>
      </c>
      <c r="Z67" s="160">
        <f>IF($Z$21=3,($Z$65+$Z$66+$X$66)*$Z$68*$Z$69*$X$68,0)</f>
        <v>0</v>
      </c>
      <c r="AA67" s="172" t="s">
        <v>227</v>
      </c>
      <c r="AB67" s="191" t="s">
        <v>495</v>
      </c>
      <c r="AC67" s="177">
        <f>IF($Z$21=3,IF($AC$66=2,1,0),0)</f>
        <v>0</v>
      </c>
      <c r="AD67" s="168"/>
      <c r="AF67" s="151" t="s">
        <v>504</v>
      </c>
      <c r="AG67" s="301" t="str">
        <f>IF($Z$21=3,IF($AJ$51=2,$AG$29,IF($AJ$51=1,$AG$28,""))," ")</f>
        <v xml:space="preserve"> </v>
      </c>
      <c r="AH67" s="320"/>
      <c r="AI67" s="320"/>
      <c r="AJ67" s="320"/>
      <c r="AK67" s="320"/>
      <c r="AL67" s="320"/>
      <c r="AO67" s="170" t="s">
        <v>18</v>
      </c>
      <c r="AP67" s="171">
        <v>0.9</v>
      </c>
    </row>
    <row r="68" spans="1:42" ht="25.2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85"/>
      <c r="N68" s="85"/>
      <c r="O68" s="85"/>
      <c r="P68" s="85"/>
      <c r="Q68" s="33"/>
      <c r="R68" s="10"/>
      <c r="S68" s="10"/>
      <c r="T68" s="10"/>
      <c r="U68" s="10"/>
      <c r="V68" s="10"/>
      <c r="X68" s="151">
        <f>IF($H$43&lt;&gt;"",IF($AC$66=2,IF($J$43="",0,1),1),1)</f>
        <v>1</v>
      </c>
      <c r="Y68" s="177" t="s">
        <v>228</v>
      </c>
      <c r="Z68" s="177">
        <f>IF($H$41&lt;&gt;"",IF($L$23&gt;0,IF($J$41="",0,1),1),1)</f>
        <v>0</v>
      </c>
      <c r="AD68" s="168"/>
      <c r="AO68" s="170" t="s">
        <v>282</v>
      </c>
      <c r="AP68" s="171">
        <v>1</v>
      </c>
    </row>
    <row r="69" spans="1:42" ht="25.2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85"/>
      <c r="N69" s="85"/>
      <c r="O69" s="85"/>
      <c r="P69" s="85"/>
      <c r="Q69" s="33"/>
      <c r="R69" s="10"/>
      <c r="S69" s="10"/>
      <c r="T69" s="10"/>
      <c r="U69" s="10"/>
      <c r="V69" s="10"/>
      <c r="Y69" s="177" t="s">
        <v>217</v>
      </c>
      <c r="Z69" s="177">
        <f>IF($H$42&lt;&gt;"",IF($L$24&gt;0,IF($J$42="",0,1),1),1)</f>
        <v>1</v>
      </c>
      <c r="AD69" s="168"/>
      <c r="AO69" s="170" t="s">
        <v>283</v>
      </c>
      <c r="AP69" s="171">
        <v>1</v>
      </c>
    </row>
    <row r="70" spans="1:42" ht="25.2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85"/>
      <c r="N70" s="85"/>
      <c r="O70" s="85"/>
      <c r="P70" s="85"/>
      <c r="Q70" s="33"/>
      <c r="R70" s="10"/>
      <c r="S70" s="10"/>
      <c r="T70" s="10"/>
      <c r="U70" s="10"/>
      <c r="V70" s="10"/>
      <c r="Y70" s="160"/>
      <c r="AD70" s="168"/>
      <c r="AO70" s="170" t="s">
        <v>284</v>
      </c>
      <c r="AP70" s="171">
        <v>1</v>
      </c>
    </row>
    <row r="71" spans="1:42" ht="25.2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Q71" s="11"/>
      <c r="R71" s="11"/>
      <c r="S71" s="10"/>
      <c r="T71" s="10"/>
      <c r="U71" s="10"/>
      <c r="V71" s="10"/>
      <c r="Y71" s="151" t="s">
        <v>461</v>
      </c>
      <c r="Z71" s="151">
        <v>2</v>
      </c>
      <c r="AA71" s="151">
        <v>3</v>
      </c>
      <c r="AB71" s="158">
        <v>4</v>
      </c>
      <c r="AC71" s="151">
        <v>5</v>
      </c>
      <c r="AD71" s="151">
        <v>6</v>
      </c>
      <c r="AE71" s="151">
        <v>7</v>
      </c>
      <c r="AF71" s="151">
        <v>8</v>
      </c>
      <c r="AG71" s="151">
        <v>9</v>
      </c>
      <c r="AH71" s="151"/>
      <c r="AO71" s="170" t="s">
        <v>285</v>
      </c>
      <c r="AP71" s="171">
        <v>1</v>
      </c>
    </row>
    <row r="72" spans="1:42" ht="25.2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Q72" s="28"/>
      <c r="R72" s="28"/>
      <c r="Y72" s="229" t="s">
        <v>460</v>
      </c>
      <c r="Z72" s="229"/>
      <c r="AA72" s="337"/>
      <c r="AB72" s="337"/>
      <c r="AC72" s="337"/>
      <c r="AD72" s="337"/>
      <c r="AE72" s="337"/>
      <c r="AF72" s="337"/>
      <c r="AG72" s="337"/>
      <c r="AH72" s="237"/>
      <c r="AO72" s="170" t="s">
        <v>286</v>
      </c>
      <c r="AP72" s="171">
        <v>0.9</v>
      </c>
    </row>
    <row r="73" spans="1:42" ht="25.2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Q73" s="28"/>
      <c r="R73" s="28"/>
      <c r="X73" s="159" t="s">
        <v>457</v>
      </c>
      <c r="Y73" s="151" t="s">
        <v>463</v>
      </c>
      <c r="Z73" s="151" t="s">
        <v>468</v>
      </c>
      <c r="AA73" s="151" t="s">
        <v>365</v>
      </c>
      <c r="AB73" s="158" t="s">
        <v>366</v>
      </c>
      <c r="AC73" s="151" t="s">
        <v>367</v>
      </c>
      <c r="AD73" s="151" t="s">
        <v>368</v>
      </c>
      <c r="AE73" s="151" t="s">
        <v>369</v>
      </c>
      <c r="AF73" s="151" t="s">
        <v>465</v>
      </c>
      <c r="AG73" s="151" t="s">
        <v>466</v>
      </c>
      <c r="AH73" s="151" t="s">
        <v>118</v>
      </c>
      <c r="AO73" s="170" t="s">
        <v>287</v>
      </c>
      <c r="AP73" s="171">
        <v>1</v>
      </c>
    </row>
    <row r="74" spans="1:42" ht="25.2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Q74" s="28"/>
      <c r="R74" s="28"/>
      <c r="Y74" s="151" t="s">
        <v>464</v>
      </c>
      <c r="Z74" s="151">
        <f t="shared" ref="Z74:AE74" si="2">IF($J$22&lt;&gt;"",VLOOKUP($J$22,$BD$4:$BM$104,Z$71,0),0)</f>
        <v>0</v>
      </c>
      <c r="AA74" s="151">
        <f t="shared" si="2"/>
        <v>0</v>
      </c>
      <c r="AB74" s="158">
        <f t="shared" si="2"/>
        <v>0</v>
      </c>
      <c r="AC74" s="151">
        <f t="shared" si="2"/>
        <v>0</v>
      </c>
      <c r="AD74" s="151">
        <f t="shared" si="2"/>
        <v>0</v>
      </c>
      <c r="AE74" s="151">
        <f t="shared" si="2"/>
        <v>0</v>
      </c>
      <c r="AF74" s="151">
        <f>IF($J$22&lt;&gt;"",VLOOKUP($J$22,$BD$4:$BM$104,AF$71,0)/1000,0)</f>
        <v>0</v>
      </c>
      <c r="AG74" s="151">
        <f>IF($J$22&lt;&gt;"",VLOOKUP($J$22,$BD$4:$BM$104,AG$71,0)/1000,0)</f>
        <v>0</v>
      </c>
      <c r="AH74" s="151">
        <f>IF($J$22&lt;&gt;"",100-AA74-AB74-AC74-AD74-AE74,0)</f>
        <v>0</v>
      </c>
      <c r="AO74" s="170" t="s">
        <v>19</v>
      </c>
      <c r="AP74" s="171">
        <v>0.9</v>
      </c>
    </row>
    <row r="75" spans="1:42" ht="25.2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Q75" s="28"/>
      <c r="R75" s="28"/>
      <c r="X75" s="151">
        <f>$J$22</f>
        <v>0</v>
      </c>
      <c r="Y75" s="151">
        <f>$L$22</f>
        <v>0</v>
      </c>
      <c r="Z75" s="151">
        <f t="shared" ref="Z75:AH75" si="3">Z$74*$Y$75/100</f>
        <v>0</v>
      </c>
      <c r="AA75" s="151">
        <f t="shared" si="3"/>
        <v>0</v>
      </c>
      <c r="AB75" s="158">
        <f t="shared" si="3"/>
        <v>0</v>
      </c>
      <c r="AC75" s="151">
        <f t="shared" si="3"/>
        <v>0</v>
      </c>
      <c r="AD75" s="151">
        <f t="shared" si="3"/>
        <v>0</v>
      </c>
      <c r="AE75" s="151">
        <f t="shared" si="3"/>
        <v>0</v>
      </c>
      <c r="AF75" s="151">
        <f t="shared" si="3"/>
        <v>0</v>
      </c>
      <c r="AG75" s="151">
        <f t="shared" si="3"/>
        <v>0</v>
      </c>
      <c r="AH75" s="151">
        <f t="shared" si="3"/>
        <v>0</v>
      </c>
      <c r="AO75" s="170" t="s">
        <v>288</v>
      </c>
      <c r="AP75" s="171">
        <v>1</v>
      </c>
    </row>
    <row r="76" spans="1:42" ht="25.2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Q76" s="28"/>
      <c r="R76" s="28"/>
      <c r="X76" s="151" t="s">
        <v>207</v>
      </c>
      <c r="Y76" s="151">
        <f>$Z$16</f>
        <v>0</v>
      </c>
      <c r="Z76" s="151">
        <f>$Y$76*$I$16/100</f>
        <v>0</v>
      </c>
      <c r="AA76" s="151">
        <f>$Y$76*$I$9/100</f>
        <v>0</v>
      </c>
      <c r="AB76" s="158">
        <f>$Y$76*$I$10/100</f>
        <v>0</v>
      </c>
      <c r="AC76" s="151">
        <f>$Y$76*$Z$11/100</f>
        <v>0</v>
      </c>
      <c r="AD76" s="151">
        <f>$Y$76*$I$12/100</f>
        <v>0</v>
      </c>
      <c r="AE76" s="151">
        <f>$Y$76*$I$11/100</f>
        <v>0</v>
      </c>
      <c r="AF76" s="151">
        <f>$Y$76*$I$18/100</f>
        <v>0</v>
      </c>
      <c r="AG76" s="151">
        <f>$Y$76*$I$19/100</f>
        <v>0</v>
      </c>
      <c r="AH76" s="151">
        <f>$Y$76*$I$13/100</f>
        <v>0</v>
      </c>
      <c r="AO76" s="170" t="s">
        <v>289</v>
      </c>
      <c r="AP76" s="171">
        <v>1</v>
      </c>
    </row>
    <row r="77" spans="1:42" ht="25.2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Q77" s="28"/>
      <c r="R77" s="28"/>
      <c r="X77" s="192" t="s">
        <v>462</v>
      </c>
      <c r="Y77" s="192">
        <f>$Z$17</f>
        <v>0</v>
      </c>
      <c r="Z77" s="151">
        <f>$Y$77*$K$16/100</f>
        <v>0</v>
      </c>
      <c r="AA77" s="151">
        <f>$Y$77*$K$9/100</f>
        <v>0</v>
      </c>
      <c r="AB77" s="158">
        <f>$Y$77*$K$10/100</f>
        <v>0</v>
      </c>
      <c r="AC77" s="151">
        <f>$Y$77*$Z$12/100</f>
        <v>0</v>
      </c>
      <c r="AD77" s="151">
        <f>$Y$77*$K$12/100</f>
        <v>0</v>
      </c>
      <c r="AE77" s="151">
        <f>$Y$77*$K$11/100</f>
        <v>0</v>
      </c>
      <c r="AF77" s="151">
        <f>$Y$77*$K$18/100</f>
        <v>0</v>
      </c>
      <c r="AG77" s="151">
        <f>$Y$77*$K$19/100</f>
        <v>0</v>
      </c>
      <c r="AH77" s="151">
        <f>$Y$77*$K$13/100</f>
        <v>0</v>
      </c>
      <c r="AO77" s="170" t="s">
        <v>290</v>
      </c>
      <c r="AP77" s="171">
        <v>1</v>
      </c>
    </row>
    <row r="78" spans="1:42" ht="25.2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Q78" s="28"/>
      <c r="R78" s="28"/>
      <c r="X78" s="151" t="s">
        <v>467</v>
      </c>
      <c r="Y78" s="192">
        <f t="shared" ref="Y78:AH78" si="4">SUM(Y75:Y77)</f>
        <v>0</v>
      </c>
      <c r="Z78" s="192">
        <f>SUM(Z75:Z77)</f>
        <v>0</v>
      </c>
      <c r="AA78" s="192">
        <f t="shared" si="4"/>
        <v>0</v>
      </c>
      <c r="AB78" s="192">
        <f t="shared" si="4"/>
        <v>0</v>
      </c>
      <c r="AC78" s="192">
        <f t="shared" si="4"/>
        <v>0</v>
      </c>
      <c r="AD78" s="192">
        <f t="shared" si="4"/>
        <v>0</v>
      </c>
      <c r="AE78" s="192">
        <f t="shared" si="4"/>
        <v>0</v>
      </c>
      <c r="AF78" s="192">
        <f t="shared" si="4"/>
        <v>0</v>
      </c>
      <c r="AG78" s="192">
        <f t="shared" si="4"/>
        <v>0</v>
      </c>
      <c r="AH78" s="192">
        <f t="shared" si="4"/>
        <v>0</v>
      </c>
      <c r="AO78" s="170" t="s">
        <v>20</v>
      </c>
      <c r="AP78" s="171">
        <v>1</v>
      </c>
    </row>
    <row r="79" spans="1:42" ht="25.2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Q79" s="28"/>
      <c r="R79" s="28"/>
      <c r="Z79" s="159" t="s">
        <v>469</v>
      </c>
      <c r="AA79" s="151">
        <f t="shared" ref="AA79:AH79" si="5">IF($Z$21=3,AA$78*100/$Y$78,0)</f>
        <v>0</v>
      </c>
      <c r="AB79" s="158">
        <f t="shared" si="5"/>
        <v>0</v>
      </c>
      <c r="AC79" s="151">
        <f t="shared" si="5"/>
        <v>0</v>
      </c>
      <c r="AD79" s="151">
        <f t="shared" si="5"/>
        <v>0</v>
      </c>
      <c r="AE79" s="151">
        <f t="shared" si="5"/>
        <v>0</v>
      </c>
      <c r="AF79" s="151">
        <f t="shared" si="5"/>
        <v>0</v>
      </c>
      <c r="AG79" s="151">
        <f t="shared" si="5"/>
        <v>0</v>
      </c>
      <c r="AH79" s="151">
        <f t="shared" si="5"/>
        <v>0</v>
      </c>
      <c r="AO79" s="170" t="s">
        <v>291</v>
      </c>
      <c r="AP79" s="171">
        <v>0.8</v>
      </c>
    </row>
    <row r="80" spans="1:42" ht="25.2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Q80" s="28"/>
      <c r="R80" s="28"/>
      <c r="X80" s="151" t="s">
        <v>471</v>
      </c>
      <c r="Y80" s="151">
        <f>$AA$78+$AB$78+$AC$78+$AD$78+$AE$78</f>
        <v>0</v>
      </c>
      <c r="Z80" s="159" t="s">
        <v>470</v>
      </c>
      <c r="AA80" s="151">
        <f t="shared" ref="AA80:AG80" si="6">IF($Z$21=3,AA$78*100/$Y$80,0)</f>
        <v>0</v>
      </c>
      <c r="AB80" s="158">
        <f t="shared" si="6"/>
        <v>0</v>
      </c>
      <c r="AC80" s="151">
        <f t="shared" si="6"/>
        <v>0</v>
      </c>
      <c r="AD80" s="151">
        <f t="shared" si="6"/>
        <v>0</v>
      </c>
      <c r="AE80" s="151">
        <f t="shared" si="6"/>
        <v>0</v>
      </c>
      <c r="AF80" s="151">
        <f t="shared" si="6"/>
        <v>0</v>
      </c>
      <c r="AG80" s="151">
        <f t="shared" si="6"/>
        <v>0</v>
      </c>
      <c r="AO80" s="170" t="s">
        <v>21</v>
      </c>
      <c r="AP80" s="171">
        <v>0.8</v>
      </c>
    </row>
    <row r="81" spans="1:42" ht="25.2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Q81" s="28"/>
      <c r="R81" s="28"/>
      <c r="X81" s="151" t="s">
        <v>473</v>
      </c>
      <c r="Y81" s="151">
        <f>IF($Z$21=3,$Z$78*1000/$Y$78,0)</f>
        <v>0</v>
      </c>
      <c r="Z81" s="159" t="s">
        <v>487</v>
      </c>
      <c r="AA81" s="151">
        <f>IF($Z$21=3,Z75*100/Z78,0)</f>
        <v>0</v>
      </c>
      <c r="AF81" s="151" t="s">
        <v>194</v>
      </c>
      <c r="AG81" s="151">
        <f>IF(AG78&gt;0,AF78/AG78,0)</f>
        <v>0</v>
      </c>
      <c r="AH81" s="151" t="s">
        <v>474</v>
      </c>
      <c r="AO81" s="170" t="s">
        <v>22</v>
      </c>
      <c r="AP81" s="171">
        <v>0.8</v>
      </c>
    </row>
    <row r="82" spans="1:42" ht="25.2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Q82" s="28"/>
      <c r="R82" s="28"/>
      <c r="AH82" s="151">
        <f>IF($J$22&lt;&gt;"",VLOOKUP($J$22,$BD$4:$BM$104,10,0),0)</f>
        <v>0</v>
      </c>
      <c r="AO82" s="170" t="s">
        <v>23</v>
      </c>
      <c r="AP82" s="171">
        <v>0.8</v>
      </c>
    </row>
    <row r="83" spans="1:42" ht="25.2" customHeight="1">
      <c r="A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Q83" s="28"/>
      <c r="R83" s="28"/>
      <c r="Y83" s="193" t="s">
        <v>578</v>
      </c>
      <c r="Z83" s="160">
        <f>IF($AC$55=8,IF($Z$75&lt;$AA$35,0,-1),0)</f>
        <v>0</v>
      </c>
      <c r="AA83" s="151" t="s">
        <v>365</v>
      </c>
      <c r="AB83" s="158" t="s">
        <v>366</v>
      </c>
      <c r="AC83" s="151" t="s">
        <v>367</v>
      </c>
      <c r="AD83" s="151" t="s">
        <v>368</v>
      </c>
      <c r="AE83" s="151" t="s">
        <v>369</v>
      </c>
      <c r="AF83" s="151" t="s">
        <v>465</v>
      </c>
      <c r="AG83" s="151" t="s">
        <v>466</v>
      </c>
      <c r="AO83" s="170" t="s">
        <v>24</v>
      </c>
      <c r="AP83" s="171">
        <v>0.8</v>
      </c>
    </row>
    <row r="84" spans="1:42" ht="25.2" customHeight="1">
      <c r="A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Q84" s="28"/>
      <c r="R84" s="28"/>
      <c r="Z84" s="159" t="s">
        <v>546</v>
      </c>
      <c r="AA84" s="151">
        <f>IF($Z$21=3,ROUND(AA$78*1000/$Z$78,2),0)</f>
        <v>0</v>
      </c>
      <c r="AB84" s="158">
        <f t="shared" ref="AB84:AG84" si="7">IF($Z$21=3,ROUND(AB$78*1000/$Z$78,2),0)</f>
        <v>0</v>
      </c>
      <c r="AC84" s="151">
        <f t="shared" si="7"/>
        <v>0</v>
      </c>
      <c r="AD84" s="151">
        <f t="shared" si="7"/>
        <v>0</v>
      </c>
      <c r="AE84" s="151">
        <f t="shared" si="7"/>
        <v>0</v>
      </c>
      <c r="AF84" s="151">
        <f t="shared" si="7"/>
        <v>0</v>
      </c>
      <c r="AG84" s="151">
        <f t="shared" si="7"/>
        <v>0</v>
      </c>
      <c r="AO84" s="170" t="s">
        <v>292</v>
      </c>
      <c r="AP84" s="171">
        <v>0.8</v>
      </c>
    </row>
    <row r="85" spans="1:42" ht="25.2" customHeight="1">
      <c r="A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Q85" s="28"/>
      <c r="R85" s="28"/>
      <c r="Y85" s="193" t="s">
        <v>482</v>
      </c>
      <c r="Z85" s="160">
        <f>IF($AB$33&lt;$Z$75,-1,0)</f>
        <v>0</v>
      </c>
      <c r="AO85" s="170" t="s">
        <v>25</v>
      </c>
      <c r="AP85" s="171">
        <v>0.8</v>
      </c>
    </row>
    <row r="86" spans="1:42" ht="25.2" customHeight="1">
      <c r="A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Q86" s="28"/>
      <c r="R86" s="28"/>
      <c r="AO86" s="170" t="s">
        <v>26</v>
      </c>
      <c r="AP86" s="171">
        <v>0.8</v>
      </c>
    </row>
    <row r="87" spans="1:42" ht="25.2" customHeight="1">
      <c r="A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Q87" s="28"/>
      <c r="R87" s="28"/>
      <c r="AO87" s="170" t="s">
        <v>27</v>
      </c>
      <c r="AP87" s="171">
        <v>1</v>
      </c>
    </row>
    <row r="88" spans="1:42" ht="25.2" customHeight="1">
      <c r="A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Q88" s="28"/>
      <c r="R88" s="28"/>
      <c r="AO88" s="170" t="s">
        <v>28</v>
      </c>
      <c r="AP88" s="171">
        <v>1</v>
      </c>
    </row>
    <row r="89" spans="1:42" ht="25.2" customHeight="1">
      <c r="A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Q89" s="28"/>
      <c r="R89" s="28"/>
      <c r="AO89" s="170" t="s">
        <v>293</v>
      </c>
      <c r="AP89" s="171">
        <v>1</v>
      </c>
    </row>
    <row r="90" spans="1:42" ht="25.2" customHeight="1">
      <c r="A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Q90" s="28"/>
      <c r="R90" s="28"/>
      <c r="X90" s="152" t="s">
        <v>520</v>
      </c>
      <c r="AO90" s="170" t="s">
        <v>29</v>
      </c>
      <c r="AP90" s="171">
        <v>0.9</v>
      </c>
    </row>
    <row r="91" spans="1:42" ht="25.2" customHeight="1">
      <c r="A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Q91" s="28"/>
      <c r="R91" s="28"/>
      <c r="X91" s="242" t="s">
        <v>505</v>
      </c>
      <c r="Y91" s="242" t="s">
        <v>115</v>
      </c>
      <c r="Z91" s="242"/>
      <c r="AA91" s="242" t="s">
        <v>191</v>
      </c>
      <c r="AB91" s="242"/>
      <c r="AC91" s="242" t="s">
        <v>116</v>
      </c>
      <c r="AD91" s="242"/>
      <c r="AE91" s="242" t="s">
        <v>117</v>
      </c>
      <c r="AF91" s="242"/>
      <c r="AG91" s="242" t="s">
        <v>192</v>
      </c>
      <c r="AH91" s="242"/>
      <c r="AI91" s="242" t="s">
        <v>193</v>
      </c>
      <c r="AJ91" s="242"/>
      <c r="AK91" s="242" t="s">
        <v>194</v>
      </c>
      <c r="AL91" s="242"/>
      <c r="AO91" s="170" t="s">
        <v>30</v>
      </c>
      <c r="AP91" s="171">
        <v>1</v>
      </c>
    </row>
    <row r="92" spans="1:42" ht="25.2" customHeight="1">
      <c r="A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Q92" s="28"/>
      <c r="R92" s="28"/>
      <c r="X92" s="242"/>
      <c r="Y92" s="151" t="s">
        <v>506</v>
      </c>
      <c r="Z92" s="151" t="s">
        <v>507</v>
      </c>
      <c r="AA92" s="151" t="s">
        <v>506</v>
      </c>
      <c r="AB92" s="158" t="s">
        <v>507</v>
      </c>
      <c r="AC92" s="151" t="s">
        <v>506</v>
      </c>
      <c r="AD92" s="151" t="s">
        <v>507</v>
      </c>
      <c r="AE92" s="151" t="s">
        <v>506</v>
      </c>
      <c r="AF92" s="151" t="s">
        <v>507</v>
      </c>
      <c r="AG92" s="151" t="s">
        <v>524</v>
      </c>
      <c r="AH92" s="151" t="s">
        <v>525</v>
      </c>
      <c r="AI92" s="151" t="s">
        <v>524</v>
      </c>
      <c r="AJ92" s="151" t="s">
        <v>525</v>
      </c>
      <c r="AK92" s="151" t="s">
        <v>506</v>
      </c>
      <c r="AL92" s="151" t="s">
        <v>507</v>
      </c>
      <c r="AO92" s="170" t="s">
        <v>294</v>
      </c>
      <c r="AP92" s="171">
        <v>1</v>
      </c>
    </row>
    <row r="93" spans="1:42" ht="25.2" customHeight="1">
      <c r="A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Q93" s="28"/>
      <c r="R93" s="28"/>
      <c r="X93" s="151" t="str">
        <f>AU4</f>
        <v>Adulte</v>
      </c>
      <c r="Y93" s="151">
        <v>5.5</v>
      </c>
      <c r="Z93" s="151">
        <v>30</v>
      </c>
      <c r="AA93" s="151">
        <v>0</v>
      </c>
      <c r="AB93" s="158">
        <v>50</v>
      </c>
      <c r="AC93" s="151">
        <v>0.5</v>
      </c>
      <c r="AD93" s="151">
        <v>20</v>
      </c>
      <c r="AE93" s="151">
        <v>4</v>
      </c>
      <c r="AF93" s="151">
        <v>11</v>
      </c>
      <c r="AG93" s="151">
        <v>1.25</v>
      </c>
      <c r="AH93" s="151">
        <v>6.25</v>
      </c>
      <c r="AI93" s="151">
        <v>1</v>
      </c>
      <c r="AJ93" s="151">
        <v>4.5</v>
      </c>
      <c r="AK93" s="151">
        <v>0.95</v>
      </c>
      <c r="AL93" s="151">
        <v>2</v>
      </c>
      <c r="AO93" s="170" t="s">
        <v>31</v>
      </c>
      <c r="AP93" s="171">
        <v>0.9</v>
      </c>
    </row>
    <row r="94" spans="1:42" ht="25.2" customHeight="1">
      <c r="A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Q94" s="28"/>
      <c r="R94" s="28"/>
      <c r="X94" s="151" t="str">
        <f t="shared" ref="X94:X116" si="8">AU5</f>
        <v>Senior (8 ans et plus)</v>
      </c>
      <c r="Y94" s="151">
        <v>5.5</v>
      </c>
      <c r="Z94" s="151">
        <v>30</v>
      </c>
      <c r="AA94" s="151">
        <v>0</v>
      </c>
      <c r="AB94" s="158">
        <v>50</v>
      </c>
      <c r="AC94" s="151">
        <v>0.5</v>
      </c>
      <c r="AD94" s="151">
        <v>20</v>
      </c>
      <c r="AE94" s="151">
        <v>4</v>
      </c>
      <c r="AF94" s="151">
        <v>10</v>
      </c>
      <c r="AG94" s="151">
        <v>1</v>
      </c>
      <c r="AH94" s="151">
        <v>6.25</v>
      </c>
      <c r="AI94" s="151">
        <v>0.6</v>
      </c>
      <c r="AJ94" s="151">
        <v>4</v>
      </c>
      <c r="AK94" s="151">
        <v>0.95</v>
      </c>
      <c r="AL94" s="151">
        <v>2.5</v>
      </c>
      <c r="AO94" s="170" t="s">
        <v>295</v>
      </c>
      <c r="AP94" s="171">
        <v>0.9</v>
      </c>
    </row>
    <row r="95" spans="1:42" ht="25.2" customHeight="1">
      <c r="A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Q95" s="28"/>
      <c r="R95" s="28"/>
      <c r="X95" s="151" t="str">
        <f t="shared" si="8"/>
        <v xml:space="preserve">Chiot (&lt; 10kg adulte) 3 à 4 mois </v>
      </c>
      <c r="Y95" s="151">
        <v>8.5</v>
      </c>
      <c r="Z95" s="151">
        <v>30</v>
      </c>
      <c r="AA95" s="151">
        <v>0</v>
      </c>
      <c r="AB95" s="158">
        <v>50</v>
      </c>
      <c r="AC95" s="151">
        <v>0.5</v>
      </c>
      <c r="AD95" s="151">
        <v>20</v>
      </c>
      <c r="AE95" s="151">
        <v>4</v>
      </c>
      <c r="AF95" s="151">
        <v>11</v>
      </c>
      <c r="AG95" s="151">
        <v>2.5</v>
      </c>
      <c r="AH95" s="151">
        <v>3.75</v>
      </c>
      <c r="AI95" s="151">
        <v>1.75</v>
      </c>
      <c r="AJ95" s="151">
        <v>4</v>
      </c>
      <c r="AK95" s="151">
        <v>0.95</v>
      </c>
      <c r="AL95" s="151">
        <v>1.6</v>
      </c>
      <c r="AO95" s="170" t="s">
        <v>296</v>
      </c>
      <c r="AP95" s="171">
        <v>0.9</v>
      </c>
    </row>
    <row r="96" spans="1:42" ht="25.2" customHeight="1">
      <c r="A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Q96" s="28"/>
      <c r="R96" s="28"/>
      <c r="X96" s="151" t="str">
        <f t="shared" si="8"/>
        <v xml:space="preserve">Chiot (&lt; 10kg adulte) 5 à 7 mois </v>
      </c>
      <c r="Y96" s="151">
        <v>8.5</v>
      </c>
      <c r="Z96" s="151">
        <v>30</v>
      </c>
      <c r="AA96" s="151">
        <v>0</v>
      </c>
      <c r="AB96" s="158">
        <v>50</v>
      </c>
      <c r="AC96" s="151">
        <v>0.5</v>
      </c>
      <c r="AD96" s="151">
        <v>20</v>
      </c>
      <c r="AE96" s="151">
        <v>4</v>
      </c>
      <c r="AF96" s="151">
        <v>11</v>
      </c>
      <c r="AG96" s="151">
        <v>2.2999999999999998</v>
      </c>
      <c r="AH96" s="151">
        <v>3.75</v>
      </c>
      <c r="AI96" s="151">
        <v>1.5</v>
      </c>
      <c r="AJ96" s="151">
        <v>4</v>
      </c>
      <c r="AK96" s="151">
        <v>0.95</v>
      </c>
      <c r="AL96" s="151">
        <v>1.6</v>
      </c>
      <c r="AO96" s="170" t="s">
        <v>297</v>
      </c>
      <c r="AP96" s="171">
        <v>0.9</v>
      </c>
    </row>
    <row r="97" spans="1:42" ht="25.2" customHeight="1">
      <c r="A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Q97" s="28"/>
      <c r="R97" s="28"/>
      <c r="X97" s="151" t="str">
        <f t="shared" si="8"/>
        <v xml:space="preserve">Chiot (&lt; 10kg adulte) 8 à 10 mois </v>
      </c>
      <c r="Y97" s="151">
        <v>8.5</v>
      </c>
      <c r="Z97" s="151">
        <v>30</v>
      </c>
      <c r="AA97" s="151">
        <v>0</v>
      </c>
      <c r="AB97" s="158">
        <v>50</v>
      </c>
      <c r="AC97" s="151">
        <v>0.5</v>
      </c>
      <c r="AD97" s="151">
        <v>20</v>
      </c>
      <c r="AE97" s="151">
        <v>4</v>
      </c>
      <c r="AF97" s="151">
        <v>11</v>
      </c>
      <c r="AG97" s="151">
        <v>2</v>
      </c>
      <c r="AH97" s="151">
        <v>3.75</v>
      </c>
      <c r="AI97" s="151">
        <v>1.25</v>
      </c>
      <c r="AJ97" s="151">
        <v>4</v>
      </c>
      <c r="AK97" s="151">
        <v>0.95</v>
      </c>
      <c r="AL97" s="151">
        <v>1.6</v>
      </c>
      <c r="AO97" s="170" t="s">
        <v>298</v>
      </c>
      <c r="AP97" s="171">
        <v>1</v>
      </c>
    </row>
    <row r="98" spans="1:42" ht="25.2" customHeight="1">
      <c r="A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Q98" s="28"/>
      <c r="R98" s="28"/>
      <c r="X98" s="151" t="str">
        <f t="shared" si="8"/>
        <v xml:space="preserve">Chiot (10-20kg adulte) 3 à 5 mois </v>
      </c>
      <c r="Y98" s="151">
        <v>8.5</v>
      </c>
      <c r="Z98" s="151">
        <v>30</v>
      </c>
      <c r="AA98" s="151">
        <v>0</v>
      </c>
      <c r="AB98" s="158">
        <v>50</v>
      </c>
      <c r="AC98" s="151">
        <v>0.5</v>
      </c>
      <c r="AD98" s="151">
        <v>20</v>
      </c>
      <c r="AE98" s="151">
        <v>4</v>
      </c>
      <c r="AF98" s="151">
        <v>11</v>
      </c>
      <c r="AG98" s="151">
        <v>2.5</v>
      </c>
      <c r="AH98" s="151">
        <v>3.75</v>
      </c>
      <c r="AI98" s="151">
        <v>1.75</v>
      </c>
      <c r="AJ98" s="151">
        <v>4</v>
      </c>
      <c r="AK98" s="151">
        <v>0.95</v>
      </c>
      <c r="AL98" s="151">
        <v>1.6</v>
      </c>
      <c r="AO98" s="170" t="s">
        <v>299</v>
      </c>
      <c r="AP98" s="171">
        <v>0.8</v>
      </c>
    </row>
    <row r="99" spans="1:42" ht="25.2" customHeight="1">
      <c r="A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Q99" s="28"/>
      <c r="R99" s="28"/>
      <c r="X99" s="151" t="str">
        <f t="shared" si="8"/>
        <v>Chiot (10-20kg adulte) 6 à 9 mois</v>
      </c>
      <c r="Y99" s="151">
        <v>8.5</v>
      </c>
      <c r="Z99" s="151">
        <v>30</v>
      </c>
      <c r="AA99" s="151">
        <v>0</v>
      </c>
      <c r="AB99" s="158">
        <v>50</v>
      </c>
      <c r="AC99" s="151">
        <v>0.5</v>
      </c>
      <c r="AD99" s="151">
        <v>20</v>
      </c>
      <c r="AE99" s="151">
        <v>4</v>
      </c>
      <c r="AF99" s="151">
        <v>11</v>
      </c>
      <c r="AG99" s="151">
        <v>2.2999999999999998</v>
      </c>
      <c r="AH99" s="151">
        <v>3.75</v>
      </c>
      <c r="AI99" s="151">
        <v>1.5</v>
      </c>
      <c r="AJ99" s="151">
        <v>4</v>
      </c>
      <c r="AK99" s="151">
        <v>0.95</v>
      </c>
      <c r="AL99" s="151">
        <v>1.6</v>
      </c>
      <c r="AO99" s="170" t="s">
        <v>300</v>
      </c>
      <c r="AP99" s="171">
        <v>1</v>
      </c>
    </row>
    <row r="100" spans="1:42" ht="25.2" customHeight="1">
      <c r="A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Q100" s="28"/>
      <c r="R100" s="28"/>
      <c r="X100" s="151" t="str">
        <f t="shared" si="8"/>
        <v>Chiot (10-20kg adulte) 10 à 12 mois</v>
      </c>
      <c r="Y100" s="151">
        <v>8.5</v>
      </c>
      <c r="Z100" s="151">
        <v>30</v>
      </c>
      <c r="AA100" s="151">
        <v>0</v>
      </c>
      <c r="AB100" s="158">
        <v>50</v>
      </c>
      <c r="AC100" s="151">
        <v>0.5</v>
      </c>
      <c r="AD100" s="151">
        <v>20</v>
      </c>
      <c r="AE100" s="151">
        <v>4</v>
      </c>
      <c r="AF100" s="151">
        <v>11</v>
      </c>
      <c r="AG100" s="151">
        <v>2</v>
      </c>
      <c r="AH100" s="151">
        <v>3.75</v>
      </c>
      <c r="AI100" s="151">
        <v>1.25</v>
      </c>
      <c r="AJ100" s="151">
        <v>4</v>
      </c>
      <c r="AK100" s="151">
        <v>0.95</v>
      </c>
      <c r="AL100" s="151">
        <v>1.6</v>
      </c>
      <c r="AO100" s="170" t="s">
        <v>301</v>
      </c>
      <c r="AP100" s="171">
        <v>1</v>
      </c>
    </row>
    <row r="101" spans="1:42" ht="25.2" customHeight="1">
      <c r="A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Q101" s="28"/>
      <c r="R101" s="28"/>
      <c r="X101" s="151" t="str">
        <f t="shared" si="8"/>
        <v xml:space="preserve">Chiot (20-35kg adulte) 3 à 6 mois </v>
      </c>
      <c r="Y101" s="151">
        <v>8.5</v>
      </c>
      <c r="Z101" s="151">
        <v>30</v>
      </c>
      <c r="AA101" s="151">
        <v>0</v>
      </c>
      <c r="AB101" s="158">
        <v>50</v>
      </c>
      <c r="AC101" s="151">
        <v>0.5</v>
      </c>
      <c r="AD101" s="151">
        <v>20</v>
      </c>
      <c r="AE101" s="151">
        <v>4</v>
      </c>
      <c r="AF101" s="151">
        <v>11</v>
      </c>
      <c r="AG101" s="151">
        <v>2.5</v>
      </c>
      <c r="AH101" s="151">
        <v>3.75</v>
      </c>
      <c r="AI101" s="151">
        <v>1.75</v>
      </c>
      <c r="AJ101" s="151">
        <v>4</v>
      </c>
      <c r="AK101" s="151">
        <v>0.95</v>
      </c>
      <c r="AL101" s="151">
        <v>1.6</v>
      </c>
      <c r="AO101" s="170" t="s">
        <v>302</v>
      </c>
      <c r="AP101" s="171">
        <v>1.2</v>
      </c>
    </row>
    <row r="102" spans="1:42" ht="25.2" customHeight="1">
      <c r="A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Q102" s="28"/>
      <c r="R102" s="28"/>
      <c r="X102" s="151" t="str">
        <f t="shared" si="8"/>
        <v xml:space="preserve">Chiot (20-35kg adulte) 7 à 8 mois </v>
      </c>
      <c r="Y102" s="151">
        <v>8.5</v>
      </c>
      <c r="Z102" s="151">
        <v>30</v>
      </c>
      <c r="AA102" s="151">
        <v>0</v>
      </c>
      <c r="AB102" s="158">
        <v>50</v>
      </c>
      <c r="AC102" s="151">
        <v>0.5</v>
      </c>
      <c r="AD102" s="151">
        <v>20</v>
      </c>
      <c r="AE102" s="151">
        <v>4</v>
      </c>
      <c r="AF102" s="151">
        <v>11</v>
      </c>
      <c r="AG102" s="151">
        <v>2.2999999999999998</v>
      </c>
      <c r="AH102" s="151">
        <v>3.75</v>
      </c>
      <c r="AI102" s="151">
        <v>1.5</v>
      </c>
      <c r="AJ102" s="151">
        <v>4</v>
      </c>
      <c r="AK102" s="151">
        <v>0.95</v>
      </c>
      <c r="AL102" s="151">
        <v>1.8</v>
      </c>
      <c r="AO102" s="170" t="s">
        <v>32</v>
      </c>
      <c r="AP102" s="171">
        <v>1.1000000000000001</v>
      </c>
    </row>
    <row r="103" spans="1:42" ht="25.2" customHeight="1">
      <c r="X103" s="151" t="str">
        <f t="shared" si="8"/>
        <v>Chiot (20-35kg adulte) 9 à 10 mois</v>
      </c>
      <c r="Y103" s="151">
        <v>8.5</v>
      </c>
      <c r="Z103" s="151">
        <v>30</v>
      </c>
      <c r="AA103" s="151">
        <v>0</v>
      </c>
      <c r="AB103" s="158">
        <v>50</v>
      </c>
      <c r="AC103" s="151">
        <v>0.5</v>
      </c>
      <c r="AD103" s="151">
        <v>20</v>
      </c>
      <c r="AE103" s="151">
        <v>4</v>
      </c>
      <c r="AF103" s="151">
        <v>11</v>
      </c>
      <c r="AG103" s="151">
        <v>2</v>
      </c>
      <c r="AH103" s="151">
        <v>3.75</v>
      </c>
      <c r="AI103" s="151">
        <v>1.25</v>
      </c>
      <c r="AJ103" s="151">
        <v>4</v>
      </c>
      <c r="AK103" s="151">
        <v>0.95</v>
      </c>
      <c r="AL103" s="151">
        <v>1.8</v>
      </c>
      <c r="AO103" s="170" t="s">
        <v>303</v>
      </c>
      <c r="AP103" s="171">
        <v>1.2</v>
      </c>
    </row>
    <row r="104" spans="1:42" ht="25.2" customHeight="1">
      <c r="X104" s="151" t="str">
        <f t="shared" si="8"/>
        <v>Chiot (20-35kg adulte) 11 à 15 mois</v>
      </c>
      <c r="Y104" s="151">
        <v>8.5</v>
      </c>
      <c r="Z104" s="151">
        <v>30</v>
      </c>
      <c r="AA104" s="151">
        <v>0</v>
      </c>
      <c r="AB104" s="158">
        <v>50</v>
      </c>
      <c r="AC104" s="151">
        <v>0.5</v>
      </c>
      <c r="AD104" s="151">
        <v>20</v>
      </c>
      <c r="AE104" s="151">
        <v>4</v>
      </c>
      <c r="AF104" s="151">
        <v>11</v>
      </c>
      <c r="AG104" s="151">
        <v>1.25</v>
      </c>
      <c r="AH104" s="151">
        <v>4</v>
      </c>
      <c r="AI104" s="151">
        <v>1.1000000000000001</v>
      </c>
      <c r="AJ104" s="151">
        <v>4</v>
      </c>
      <c r="AK104" s="151">
        <v>0.95</v>
      </c>
      <c r="AL104" s="151">
        <v>1.8</v>
      </c>
      <c r="AO104" s="170" t="s">
        <v>304</v>
      </c>
      <c r="AP104" s="171">
        <v>1</v>
      </c>
    </row>
    <row r="105" spans="1:42" ht="25.2" customHeight="1">
      <c r="X105" s="151" t="str">
        <f t="shared" si="8"/>
        <v xml:space="preserve">Chiot (35-50kg adulte) 3 à 5 mois </v>
      </c>
      <c r="Y105" s="151">
        <v>8.5</v>
      </c>
      <c r="Z105" s="151">
        <v>30</v>
      </c>
      <c r="AA105" s="151">
        <v>0</v>
      </c>
      <c r="AB105" s="158">
        <v>50</v>
      </c>
      <c r="AC105" s="151">
        <v>0.5</v>
      </c>
      <c r="AD105" s="151">
        <v>20</v>
      </c>
      <c r="AE105" s="151">
        <v>4</v>
      </c>
      <c r="AF105" s="151">
        <v>11</v>
      </c>
      <c r="AG105" s="151">
        <v>2.5</v>
      </c>
      <c r="AH105" s="151">
        <v>3.75</v>
      </c>
      <c r="AI105" s="151">
        <v>1.75</v>
      </c>
      <c r="AJ105" s="151">
        <v>4</v>
      </c>
      <c r="AK105" s="151">
        <v>0.95</v>
      </c>
      <c r="AL105" s="151">
        <v>1.6</v>
      </c>
      <c r="AO105" s="170" t="s">
        <v>305</v>
      </c>
      <c r="AP105" s="171">
        <v>0.9</v>
      </c>
    </row>
    <row r="106" spans="1:42" ht="25.2" customHeight="1">
      <c r="X106" s="151" t="str">
        <f t="shared" si="8"/>
        <v xml:space="preserve">Chiot (35-50kg adulte) 6 à 7 mois </v>
      </c>
      <c r="Y106" s="151">
        <v>8.5</v>
      </c>
      <c r="Z106" s="151">
        <v>30</v>
      </c>
      <c r="AA106" s="151">
        <v>0</v>
      </c>
      <c r="AB106" s="158">
        <v>50</v>
      </c>
      <c r="AC106" s="151">
        <v>0.5</v>
      </c>
      <c r="AD106" s="151">
        <v>20</v>
      </c>
      <c r="AE106" s="151">
        <v>4</v>
      </c>
      <c r="AF106" s="151">
        <v>11</v>
      </c>
      <c r="AG106" s="151">
        <v>2.2999999999999998</v>
      </c>
      <c r="AH106" s="151">
        <v>3.75</v>
      </c>
      <c r="AI106" s="151">
        <v>1.5</v>
      </c>
      <c r="AJ106" s="151">
        <v>4</v>
      </c>
      <c r="AK106" s="151">
        <v>0.95</v>
      </c>
      <c r="AL106" s="151">
        <v>1.8</v>
      </c>
      <c r="AO106" s="170" t="s">
        <v>306</v>
      </c>
      <c r="AP106" s="171">
        <v>0.9</v>
      </c>
    </row>
    <row r="107" spans="1:42" ht="25.2" customHeight="1">
      <c r="X107" s="151" t="str">
        <f t="shared" si="8"/>
        <v xml:space="preserve">Chiot (35-50kg adulte) 8 à 13 mois </v>
      </c>
      <c r="Y107" s="151">
        <v>8.5</v>
      </c>
      <c r="Z107" s="151">
        <v>30</v>
      </c>
      <c r="AA107" s="151">
        <v>0</v>
      </c>
      <c r="AB107" s="158">
        <v>50</v>
      </c>
      <c r="AC107" s="151">
        <v>0.5</v>
      </c>
      <c r="AD107" s="151">
        <v>20</v>
      </c>
      <c r="AE107" s="151">
        <v>4</v>
      </c>
      <c r="AF107" s="151">
        <v>11</v>
      </c>
      <c r="AG107" s="151">
        <v>2</v>
      </c>
      <c r="AH107" s="151">
        <v>4</v>
      </c>
      <c r="AI107" s="151">
        <v>1.25</v>
      </c>
      <c r="AJ107" s="151">
        <v>4</v>
      </c>
      <c r="AK107" s="151">
        <v>0.95</v>
      </c>
      <c r="AL107" s="151">
        <v>1.8</v>
      </c>
      <c r="AO107" s="170" t="s">
        <v>307</v>
      </c>
      <c r="AP107" s="171">
        <v>1</v>
      </c>
    </row>
    <row r="108" spans="1:42" ht="25.2" customHeight="1">
      <c r="X108" s="151" t="str">
        <f t="shared" si="8"/>
        <v xml:space="preserve">Chiot (35-50kg adulte) 14 à 18 mois </v>
      </c>
      <c r="Y108" s="151">
        <v>8.5</v>
      </c>
      <c r="Z108" s="151">
        <v>30</v>
      </c>
      <c r="AA108" s="151">
        <v>0</v>
      </c>
      <c r="AB108" s="158">
        <v>50</v>
      </c>
      <c r="AC108" s="151">
        <v>0.5</v>
      </c>
      <c r="AD108" s="151">
        <v>20</v>
      </c>
      <c r="AE108" s="151">
        <v>4</v>
      </c>
      <c r="AF108" s="151">
        <v>11</v>
      </c>
      <c r="AG108" s="151">
        <v>1.25</v>
      </c>
      <c r="AH108" s="151">
        <v>4</v>
      </c>
      <c r="AI108" s="151">
        <v>1.1000000000000001</v>
      </c>
      <c r="AJ108" s="151">
        <v>4</v>
      </c>
      <c r="AK108" s="151">
        <v>0.95</v>
      </c>
      <c r="AL108" s="151">
        <v>1.8</v>
      </c>
      <c r="AO108" s="170" t="s">
        <v>33</v>
      </c>
      <c r="AP108" s="171">
        <v>1</v>
      </c>
    </row>
    <row r="109" spans="1:42" ht="25.2" customHeight="1">
      <c r="X109" s="151" t="str">
        <f t="shared" si="8"/>
        <v xml:space="preserve">Chiot (&gt; 50kg adulte) 3 à 6 mois </v>
      </c>
      <c r="Y109" s="151">
        <v>8.5</v>
      </c>
      <c r="Z109" s="151">
        <v>30</v>
      </c>
      <c r="AA109" s="151">
        <v>0</v>
      </c>
      <c r="AB109" s="158">
        <v>50</v>
      </c>
      <c r="AC109" s="151">
        <v>0.5</v>
      </c>
      <c r="AD109" s="151">
        <v>20</v>
      </c>
      <c r="AE109" s="151">
        <v>4</v>
      </c>
      <c r="AF109" s="151">
        <v>11</v>
      </c>
      <c r="AG109" s="151">
        <v>2.5</v>
      </c>
      <c r="AH109" s="151">
        <v>3.75</v>
      </c>
      <c r="AI109" s="151">
        <v>1.75</v>
      </c>
      <c r="AJ109" s="151">
        <v>4</v>
      </c>
      <c r="AK109" s="151">
        <v>0.95</v>
      </c>
      <c r="AL109" s="151">
        <v>1.8</v>
      </c>
      <c r="AO109" s="170" t="s">
        <v>308</v>
      </c>
      <c r="AP109" s="171">
        <v>1</v>
      </c>
    </row>
    <row r="110" spans="1:42" ht="25.2" customHeight="1">
      <c r="X110" s="151" t="str">
        <f t="shared" si="8"/>
        <v xml:space="preserve">Chiot (&gt; 50kg adulte) 7 à 8 mois </v>
      </c>
      <c r="Y110" s="151">
        <v>8.5</v>
      </c>
      <c r="Z110" s="151">
        <v>30</v>
      </c>
      <c r="AA110" s="151">
        <v>0</v>
      </c>
      <c r="AB110" s="158">
        <v>50</v>
      </c>
      <c r="AC110" s="151">
        <v>0.5</v>
      </c>
      <c r="AD110" s="151">
        <v>20</v>
      </c>
      <c r="AE110" s="151">
        <v>4</v>
      </c>
      <c r="AF110" s="151">
        <v>11</v>
      </c>
      <c r="AG110" s="151">
        <v>2.2999999999999998</v>
      </c>
      <c r="AH110" s="151">
        <v>3.75</v>
      </c>
      <c r="AI110" s="151">
        <v>1.5</v>
      </c>
      <c r="AJ110" s="151">
        <v>4</v>
      </c>
      <c r="AK110" s="151">
        <v>0.95</v>
      </c>
      <c r="AL110" s="151">
        <v>1.8</v>
      </c>
      <c r="AO110" s="170" t="s">
        <v>309</v>
      </c>
      <c r="AP110" s="171">
        <v>1</v>
      </c>
    </row>
    <row r="111" spans="1:42" ht="25.2" customHeight="1">
      <c r="X111" s="151" t="str">
        <f t="shared" si="8"/>
        <v xml:space="preserve">Chiot (&gt; 50kg adulte) 9 à 13 mois </v>
      </c>
      <c r="Y111" s="151">
        <v>8.5</v>
      </c>
      <c r="Z111" s="151">
        <v>30</v>
      </c>
      <c r="AA111" s="151">
        <v>0</v>
      </c>
      <c r="AB111" s="158">
        <v>50</v>
      </c>
      <c r="AC111" s="151">
        <v>0.5</v>
      </c>
      <c r="AD111" s="151">
        <v>20</v>
      </c>
      <c r="AE111" s="151">
        <v>4</v>
      </c>
      <c r="AF111" s="151">
        <v>11</v>
      </c>
      <c r="AG111" s="151">
        <v>2</v>
      </c>
      <c r="AH111" s="151">
        <v>4</v>
      </c>
      <c r="AI111" s="151">
        <v>1.25</v>
      </c>
      <c r="AJ111" s="151">
        <v>4</v>
      </c>
      <c r="AK111" s="151">
        <v>0.95</v>
      </c>
      <c r="AL111" s="151">
        <v>1.8</v>
      </c>
      <c r="AO111" s="170" t="s">
        <v>310</v>
      </c>
      <c r="AP111" s="171">
        <v>1</v>
      </c>
    </row>
    <row r="112" spans="1:42" ht="25.2" customHeight="1">
      <c r="X112" s="151" t="str">
        <f t="shared" si="8"/>
        <v xml:space="preserve">Chiot (&gt; 50kg adulte) 14 à 21 mois </v>
      </c>
      <c r="Y112" s="151">
        <v>8.5</v>
      </c>
      <c r="Z112" s="151">
        <v>30</v>
      </c>
      <c r="AA112" s="151">
        <v>0</v>
      </c>
      <c r="AB112" s="158">
        <v>50</v>
      </c>
      <c r="AC112" s="151">
        <v>0.5</v>
      </c>
      <c r="AD112" s="151">
        <v>20</v>
      </c>
      <c r="AE112" s="151">
        <v>4</v>
      </c>
      <c r="AF112" s="151">
        <v>11</v>
      </c>
      <c r="AG112" s="151">
        <v>1.25</v>
      </c>
      <c r="AH112" s="151">
        <v>4</v>
      </c>
      <c r="AI112" s="151">
        <v>1.1000000000000001</v>
      </c>
      <c r="AJ112" s="151">
        <v>4</v>
      </c>
      <c r="AK112" s="151">
        <v>0.95</v>
      </c>
      <c r="AL112" s="151">
        <v>1.8</v>
      </c>
      <c r="AO112" s="170" t="s">
        <v>34</v>
      </c>
      <c r="AP112" s="171">
        <v>1</v>
      </c>
    </row>
    <row r="113" spans="24:42" ht="25.2" customHeight="1">
      <c r="X113" s="151" t="str">
        <f t="shared" si="8"/>
        <v>Gestation 1er tiers</v>
      </c>
      <c r="Y113" s="151">
        <v>8.5</v>
      </c>
      <c r="Z113" s="151">
        <v>30</v>
      </c>
      <c r="AA113" s="151">
        <v>0</v>
      </c>
      <c r="AB113" s="158">
        <v>50</v>
      </c>
      <c r="AC113" s="151">
        <v>0.5</v>
      </c>
      <c r="AD113" s="151">
        <v>20</v>
      </c>
      <c r="AE113" s="151">
        <v>4</v>
      </c>
      <c r="AF113" s="151">
        <v>11</v>
      </c>
      <c r="AG113" s="151">
        <v>1.25</v>
      </c>
      <c r="AH113" s="151">
        <v>6.25</v>
      </c>
      <c r="AI113" s="151">
        <v>1</v>
      </c>
      <c r="AJ113" s="151">
        <v>4</v>
      </c>
      <c r="AK113" s="151">
        <v>0.95</v>
      </c>
      <c r="AL113" s="151">
        <v>1.6</v>
      </c>
      <c r="AO113" s="170" t="s">
        <v>311</v>
      </c>
      <c r="AP113" s="171">
        <v>1</v>
      </c>
    </row>
    <row r="114" spans="24:42" ht="25.2" customHeight="1">
      <c r="X114" s="151" t="str">
        <f t="shared" si="8"/>
        <v>Gestation 2ème tiers</v>
      </c>
      <c r="Y114" s="151">
        <v>8.5</v>
      </c>
      <c r="Z114" s="151">
        <v>30</v>
      </c>
      <c r="AA114" s="151">
        <v>0</v>
      </c>
      <c r="AB114" s="158">
        <v>50</v>
      </c>
      <c r="AC114" s="151">
        <v>0.5</v>
      </c>
      <c r="AD114" s="151">
        <v>20</v>
      </c>
      <c r="AE114" s="151">
        <v>4</v>
      </c>
      <c r="AF114" s="151">
        <v>11</v>
      </c>
      <c r="AG114" s="151">
        <v>1.5</v>
      </c>
      <c r="AH114" s="151">
        <v>6.25</v>
      </c>
      <c r="AI114" s="151">
        <v>1.2</v>
      </c>
      <c r="AJ114" s="151">
        <v>4</v>
      </c>
      <c r="AK114" s="151">
        <v>0.95</v>
      </c>
      <c r="AL114" s="151">
        <v>1.6</v>
      </c>
      <c r="AO114" s="170" t="s">
        <v>312</v>
      </c>
      <c r="AP114" s="171">
        <v>1</v>
      </c>
    </row>
    <row r="115" spans="24:42" ht="25.2" customHeight="1">
      <c r="X115" s="151" t="str">
        <f t="shared" si="8"/>
        <v>Gestation 3ème tiers</v>
      </c>
      <c r="Y115" s="151">
        <v>8.5</v>
      </c>
      <c r="Z115" s="151">
        <v>30</v>
      </c>
      <c r="AA115" s="151">
        <v>0</v>
      </c>
      <c r="AB115" s="158">
        <v>50</v>
      </c>
      <c r="AC115" s="151">
        <v>0.5</v>
      </c>
      <c r="AD115" s="151">
        <v>20</v>
      </c>
      <c r="AE115" s="151">
        <v>4</v>
      </c>
      <c r="AF115" s="151">
        <v>11</v>
      </c>
      <c r="AG115" s="151">
        <v>2</v>
      </c>
      <c r="AH115" s="151">
        <v>6.25</v>
      </c>
      <c r="AI115" s="151">
        <v>1.5</v>
      </c>
      <c r="AJ115" s="151">
        <v>4</v>
      </c>
      <c r="AK115" s="151">
        <v>0.95</v>
      </c>
      <c r="AL115" s="151">
        <v>1.6</v>
      </c>
      <c r="AO115" s="170" t="s">
        <v>313</v>
      </c>
      <c r="AP115" s="171">
        <v>0.8</v>
      </c>
    </row>
    <row r="116" spans="24:42" ht="25.2" customHeight="1">
      <c r="X116" s="151" t="str">
        <f t="shared" si="8"/>
        <v xml:space="preserve">Lactation </v>
      </c>
      <c r="Y116" s="151">
        <v>8.5</v>
      </c>
      <c r="Z116" s="151">
        <v>30</v>
      </c>
      <c r="AA116" s="151">
        <v>0</v>
      </c>
      <c r="AB116" s="158">
        <v>50</v>
      </c>
      <c r="AC116" s="151">
        <v>0.5</v>
      </c>
      <c r="AD116" s="151">
        <v>20</v>
      </c>
      <c r="AE116" s="151">
        <v>4</v>
      </c>
      <c r="AF116" s="151">
        <v>11</v>
      </c>
      <c r="AG116" s="151">
        <v>2</v>
      </c>
      <c r="AH116" s="151">
        <v>6.25</v>
      </c>
      <c r="AI116" s="151">
        <v>1</v>
      </c>
      <c r="AJ116" s="151">
        <v>4</v>
      </c>
      <c r="AK116" s="151">
        <v>0.95</v>
      </c>
      <c r="AL116" s="151">
        <v>1.6</v>
      </c>
      <c r="AO116" s="170" t="s">
        <v>314</v>
      </c>
      <c r="AP116" s="171">
        <v>1</v>
      </c>
    </row>
    <row r="117" spans="24:42" ht="25.2" customHeight="1">
      <c r="AO117" s="170" t="s">
        <v>35</v>
      </c>
      <c r="AP117" s="171">
        <v>1.2</v>
      </c>
    </row>
    <row r="118" spans="24:42" ht="25.2" customHeight="1">
      <c r="X118" s="151" t="s">
        <v>511</v>
      </c>
      <c r="Y118" s="151" t="str">
        <f>$E$23</f>
        <v/>
      </c>
      <c r="Z118" s="151">
        <f>IF($Y$118&lt;0.85,0.6,IF($Y$118&lt;0.95,0.8,1))</f>
        <v>1</v>
      </c>
      <c r="AB118" s="172" t="s">
        <v>517</v>
      </c>
      <c r="AC118" s="172">
        <v>0.8</v>
      </c>
      <c r="AD118" s="159" t="str">
        <f>"-&gt;"</f>
        <v>-&gt;</v>
      </c>
      <c r="AE118" s="172">
        <f>Z116*AC118</f>
        <v>24</v>
      </c>
      <c r="AF118" s="172" t="s">
        <v>519</v>
      </c>
      <c r="AO118" s="170" t="s">
        <v>315</v>
      </c>
      <c r="AP118" s="171">
        <v>0.8</v>
      </c>
    </row>
    <row r="119" spans="24:42" ht="25.2" customHeight="1">
      <c r="Z119" s="151" t="s">
        <v>512</v>
      </c>
      <c r="AB119" s="172" t="s">
        <v>518</v>
      </c>
      <c r="AC119" s="172">
        <v>0.6</v>
      </c>
      <c r="AD119" s="159" t="str">
        <f>"-&gt;"</f>
        <v>-&gt;</v>
      </c>
      <c r="AE119" s="172">
        <f>Z116*AC119</f>
        <v>18</v>
      </c>
      <c r="AF119" s="172" t="s">
        <v>519</v>
      </c>
      <c r="AO119" s="170" t="s">
        <v>316</v>
      </c>
      <c r="AP119" s="171">
        <v>1</v>
      </c>
    </row>
    <row r="120" spans="24:42" ht="25.2" customHeight="1">
      <c r="X120" s="152" t="s">
        <v>521</v>
      </c>
      <c r="AO120" s="170" t="s">
        <v>317</v>
      </c>
      <c r="AP120" s="171">
        <v>1.2</v>
      </c>
    </row>
    <row r="121" spans="24:42" ht="25.2" customHeight="1">
      <c r="X121" s="242" t="s">
        <v>505</v>
      </c>
      <c r="Y121" s="242" t="s">
        <v>115</v>
      </c>
      <c r="Z121" s="242"/>
      <c r="AA121" s="242" t="s">
        <v>191</v>
      </c>
      <c r="AB121" s="242"/>
      <c r="AC121" s="242" t="s">
        <v>116</v>
      </c>
      <c r="AD121" s="242"/>
      <c r="AE121" s="242" t="s">
        <v>117</v>
      </c>
      <c r="AF121" s="242"/>
      <c r="AG121" s="242" t="s">
        <v>192</v>
      </c>
      <c r="AH121" s="242"/>
      <c r="AI121" s="242" t="s">
        <v>193</v>
      </c>
      <c r="AJ121" s="242"/>
      <c r="AK121" s="242" t="s">
        <v>194</v>
      </c>
      <c r="AL121" s="242"/>
      <c r="AO121" s="170" t="s">
        <v>318</v>
      </c>
      <c r="AP121" s="171">
        <v>1</v>
      </c>
    </row>
    <row r="122" spans="24:42" ht="25.2" customHeight="1">
      <c r="X122" s="242"/>
      <c r="Y122" s="151" t="s">
        <v>506</v>
      </c>
      <c r="Z122" s="151" t="s">
        <v>507</v>
      </c>
      <c r="AA122" s="151" t="s">
        <v>506</v>
      </c>
      <c r="AB122" s="158" t="s">
        <v>507</v>
      </c>
      <c r="AC122" s="151" t="s">
        <v>506</v>
      </c>
      <c r="AD122" s="151" t="s">
        <v>507</v>
      </c>
      <c r="AE122" s="151" t="s">
        <v>506</v>
      </c>
      <c r="AF122" s="151" t="s">
        <v>507</v>
      </c>
      <c r="AG122" s="151" t="s">
        <v>524</v>
      </c>
      <c r="AH122" s="151" t="s">
        <v>525</v>
      </c>
      <c r="AI122" s="151" t="s">
        <v>524</v>
      </c>
      <c r="AJ122" s="151" t="s">
        <v>525</v>
      </c>
      <c r="AK122" s="151" t="s">
        <v>506</v>
      </c>
      <c r="AL122" s="151" t="s">
        <v>507</v>
      </c>
      <c r="AO122" s="170" t="s">
        <v>319</v>
      </c>
      <c r="AP122" s="171">
        <v>1</v>
      </c>
    </row>
    <row r="123" spans="24:42" ht="25.2" customHeight="1">
      <c r="X123" s="151" t="str">
        <f>AU4</f>
        <v>Adulte</v>
      </c>
      <c r="Y123" s="151">
        <v>6.5</v>
      </c>
      <c r="Z123" s="151">
        <f>Z93-5</f>
        <v>25</v>
      </c>
      <c r="AA123" s="151">
        <v>0</v>
      </c>
      <c r="AB123" s="158">
        <v>45</v>
      </c>
      <c r="AC123" s="151">
        <v>1</v>
      </c>
      <c r="AD123" s="151">
        <v>12</v>
      </c>
      <c r="AE123" s="151">
        <v>4</v>
      </c>
      <c r="AF123" s="151">
        <v>10</v>
      </c>
      <c r="AG123" s="151">
        <v>1.3</v>
      </c>
      <c r="AH123" s="151">
        <v>5</v>
      </c>
      <c r="AI123" s="151">
        <f t="shared" ref="AI123:AI129" si="9">AI93+0.1</f>
        <v>1.1000000000000001</v>
      </c>
      <c r="AJ123" s="151">
        <v>3.5</v>
      </c>
      <c r="AK123" s="151">
        <v>1</v>
      </c>
      <c r="AL123" s="151">
        <v>1.7</v>
      </c>
      <c r="AO123" s="170" t="s">
        <v>320</v>
      </c>
      <c r="AP123" s="171">
        <v>1</v>
      </c>
    </row>
    <row r="124" spans="24:42" ht="25.2" customHeight="1">
      <c r="X124" s="151" t="str">
        <f t="shared" ref="X124:X146" si="10">AU5</f>
        <v>Senior (8 ans et plus)</v>
      </c>
      <c r="Y124" s="151">
        <v>6.5</v>
      </c>
      <c r="Z124" s="151">
        <f t="shared" ref="Z124:Z146" si="11">Z94-5</f>
        <v>25</v>
      </c>
      <c r="AA124" s="151">
        <v>0</v>
      </c>
      <c r="AB124" s="158">
        <v>45</v>
      </c>
      <c r="AC124" s="151">
        <v>1.5</v>
      </c>
      <c r="AD124" s="151">
        <v>16</v>
      </c>
      <c r="AE124" s="151">
        <v>4</v>
      </c>
      <c r="AF124" s="151">
        <v>9</v>
      </c>
      <c r="AG124" s="151">
        <v>1.05</v>
      </c>
      <c r="AH124" s="151">
        <v>5</v>
      </c>
      <c r="AI124" s="151">
        <f t="shared" si="9"/>
        <v>0.7</v>
      </c>
      <c r="AJ124" s="151">
        <v>3</v>
      </c>
      <c r="AK124" s="151">
        <v>1</v>
      </c>
      <c r="AL124" s="151">
        <v>2</v>
      </c>
      <c r="AO124" s="170" t="s">
        <v>36</v>
      </c>
      <c r="AP124" s="171">
        <v>1</v>
      </c>
    </row>
    <row r="125" spans="24:42" ht="25.2" customHeight="1">
      <c r="X125" s="151" t="str">
        <f t="shared" si="10"/>
        <v xml:space="preserve">Chiot (&lt; 10kg adulte) 3 à 4 mois </v>
      </c>
      <c r="Y125" s="151">
        <v>9.5</v>
      </c>
      <c r="Z125" s="151">
        <f t="shared" si="11"/>
        <v>25</v>
      </c>
      <c r="AA125" s="151">
        <v>0</v>
      </c>
      <c r="AB125" s="158">
        <v>45</v>
      </c>
      <c r="AC125" s="151">
        <v>1</v>
      </c>
      <c r="AD125" s="151">
        <v>12</v>
      </c>
      <c r="AE125" s="151">
        <v>4</v>
      </c>
      <c r="AF125" s="151">
        <v>10</v>
      </c>
      <c r="AG125" s="151">
        <v>2.5499999999999998</v>
      </c>
      <c r="AH125" s="151">
        <v>3.5</v>
      </c>
      <c r="AI125" s="151">
        <f t="shared" si="9"/>
        <v>1.85</v>
      </c>
      <c r="AJ125" s="151">
        <v>3.5</v>
      </c>
      <c r="AK125" s="151">
        <v>1</v>
      </c>
      <c r="AL125" s="151">
        <v>1.5</v>
      </c>
      <c r="AO125" s="170" t="s">
        <v>37</v>
      </c>
      <c r="AP125" s="171">
        <v>1</v>
      </c>
    </row>
    <row r="126" spans="24:42" ht="25.2" customHeight="1">
      <c r="X126" s="151" t="str">
        <f t="shared" si="10"/>
        <v xml:space="preserve">Chiot (&lt; 10kg adulte) 5 à 7 mois </v>
      </c>
      <c r="Y126" s="151">
        <v>9.5</v>
      </c>
      <c r="Z126" s="151">
        <f t="shared" si="11"/>
        <v>25</v>
      </c>
      <c r="AA126" s="151">
        <v>0</v>
      </c>
      <c r="AB126" s="158">
        <v>45</v>
      </c>
      <c r="AC126" s="151">
        <v>1</v>
      </c>
      <c r="AD126" s="151">
        <v>12</v>
      </c>
      <c r="AE126" s="151">
        <v>4</v>
      </c>
      <c r="AF126" s="151">
        <v>10</v>
      </c>
      <c r="AG126" s="151">
        <v>2.3499999999999996</v>
      </c>
      <c r="AH126" s="151">
        <v>3.5</v>
      </c>
      <c r="AI126" s="151">
        <f t="shared" si="9"/>
        <v>1.6</v>
      </c>
      <c r="AJ126" s="151">
        <v>3.5</v>
      </c>
      <c r="AK126" s="151">
        <v>1</v>
      </c>
      <c r="AL126" s="151">
        <v>1.5</v>
      </c>
      <c r="AO126" s="170" t="s">
        <v>148</v>
      </c>
      <c r="AP126" s="171">
        <v>1</v>
      </c>
    </row>
    <row r="127" spans="24:42" ht="25.2" customHeight="1">
      <c r="X127" s="151" t="str">
        <f t="shared" si="10"/>
        <v xml:space="preserve">Chiot (&lt; 10kg adulte) 8 à 10 mois </v>
      </c>
      <c r="Y127" s="151">
        <v>9.5</v>
      </c>
      <c r="Z127" s="151">
        <f t="shared" si="11"/>
        <v>25</v>
      </c>
      <c r="AA127" s="151">
        <v>0</v>
      </c>
      <c r="AB127" s="158">
        <v>45</v>
      </c>
      <c r="AC127" s="151">
        <v>1</v>
      </c>
      <c r="AD127" s="151">
        <v>12</v>
      </c>
      <c r="AE127" s="151">
        <v>4</v>
      </c>
      <c r="AF127" s="151">
        <v>10</v>
      </c>
      <c r="AG127" s="151">
        <v>2.0499999999999998</v>
      </c>
      <c r="AH127" s="151">
        <v>3.5</v>
      </c>
      <c r="AI127" s="151">
        <f t="shared" si="9"/>
        <v>1.35</v>
      </c>
      <c r="AJ127" s="151">
        <v>3.5</v>
      </c>
      <c r="AK127" s="151">
        <v>1</v>
      </c>
      <c r="AL127" s="151">
        <v>1.5</v>
      </c>
      <c r="AO127" s="170" t="s">
        <v>149</v>
      </c>
      <c r="AP127" s="171">
        <v>0.8</v>
      </c>
    </row>
    <row r="128" spans="24:42" ht="25.2" customHeight="1">
      <c r="X128" s="151" t="str">
        <f t="shared" si="10"/>
        <v xml:space="preserve">Chiot (10-20kg adulte) 3 à 5 mois </v>
      </c>
      <c r="Y128" s="151">
        <v>9.5</v>
      </c>
      <c r="Z128" s="151">
        <f t="shared" si="11"/>
        <v>25</v>
      </c>
      <c r="AA128" s="151">
        <v>0</v>
      </c>
      <c r="AB128" s="158">
        <v>45</v>
      </c>
      <c r="AC128" s="151">
        <v>1</v>
      </c>
      <c r="AD128" s="151">
        <v>12</v>
      </c>
      <c r="AE128" s="151">
        <v>4</v>
      </c>
      <c r="AF128" s="151">
        <v>10</v>
      </c>
      <c r="AG128" s="151">
        <v>2.5499999999999998</v>
      </c>
      <c r="AH128" s="151">
        <v>3.5</v>
      </c>
      <c r="AI128" s="151">
        <f t="shared" si="9"/>
        <v>1.85</v>
      </c>
      <c r="AJ128" s="151">
        <v>3.5</v>
      </c>
      <c r="AK128" s="151">
        <v>1</v>
      </c>
      <c r="AL128" s="151">
        <v>1.5</v>
      </c>
      <c r="AO128" s="170" t="s">
        <v>321</v>
      </c>
      <c r="AP128" s="171">
        <v>1</v>
      </c>
    </row>
    <row r="129" spans="24:42" ht="25.2" customHeight="1">
      <c r="X129" s="151" t="str">
        <f t="shared" si="10"/>
        <v>Chiot (10-20kg adulte) 6 à 9 mois</v>
      </c>
      <c r="Y129" s="151">
        <v>9.5</v>
      </c>
      <c r="Z129" s="151">
        <f t="shared" si="11"/>
        <v>25</v>
      </c>
      <c r="AA129" s="151">
        <v>0</v>
      </c>
      <c r="AB129" s="158">
        <v>45</v>
      </c>
      <c r="AC129" s="151">
        <v>1</v>
      </c>
      <c r="AD129" s="151">
        <v>12</v>
      </c>
      <c r="AE129" s="151">
        <v>4</v>
      </c>
      <c r="AF129" s="151">
        <v>10</v>
      </c>
      <c r="AG129" s="151">
        <v>2.3499999999999996</v>
      </c>
      <c r="AH129" s="151">
        <v>3.5</v>
      </c>
      <c r="AI129" s="151">
        <f t="shared" si="9"/>
        <v>1.6</v>
      </c>
      <c r="AJ129" s="151">
        <v>3.5</v>
      </c>
      <c r="AK129" s="151">
        <v>1</v>
      </c>
      <c r="AL129" s="151">
        <v>1.5</v>
      </c>
      <c r="AO129" s="170" t="s">
        <v>594</v>
      </c>
      <c r="AP129" s="171">
        <v>1</v>
      </c>
    </row>
    <row r="130" spans="24:42" ht="25.2" customHeight="1">
      <c r="X130" s="151" t="str">
        <f t="shared" si="10"/>
        <v>Chiot (10-20kg adulte) 10 à 12 mois</v>
      </c>
      <c r="Y130" s="151">
        <v>9.5</v>
      </c>
      <c r="Z130" s="151">
        <f t="shared" si="11"/>
        <v>25</v>
      </c>
      <c r="AA130" s="151">
        <v>0</v>
      </c>
      <c r="AB130" s="158">
        <v>45</v>
      </c>
      <c r="AC130" s="151">
        <v>1</v>
      </c>
      <c r="AD130" s="151">
        <v>12</v>
      </c>
      <c r="AE130" s="151">
        <v>4</v>
      </c>
      <c r="AF130" s="151">
        <v>10</v>
      </c>
      <c r="AG130" s="151">
        <v>2.0499999999999998</v>
      </c>
      <c r="AH130" s="151">
        <v>3.5</v>
      </c>
      <c r="AI130" s="151">
        <f t="shared" ref="AI130:AI146" si="12">AI100+0.1</f>
        <v>1.35</v>
      </c>
      <c r="AJ130" s="151">
        <v>3.5</v>
      </c>
      <c r="AK130" s="151">
        <v>1</v>
      </c>
      <c r="AL130" s="151">
        <v>1.5</v>
      </c>
      <c r="AO130" s="170" t="s">
        <v>322</v>
      </c>
      <c r="AP130" s="171">
        <v>1</v>
      </c>
    </row>
    <row r="131" spans="24:42" ht="25.2" customHeight="1">
      <c r="X131" s="151" t="str">
        <f t="shared" si="10"/>
        <v xml:space="preserve">Chiot (20-35kg adulte) 3 à 6 mois </v>
      </c>
      <c r="Y131" s="151">
        <v>9.5</v>
      </c>
      <c r="Z131" s="151">
        <f t="shared" si="11"/>
        <v>25</v>
      </c>
      <c r="AA131" s="151">
        <v>0</v>
      </c>
      <c r="AB131" s="158">
        <v>45</v>
      </c>
      <c r="AC131" s="151">
        <v>1</v>
      </c>
      <c r="AD131" s="151">
        <v>12</v>
      </c>
      <c r="AE131" s="151">
        <v>4</v>
      </c>
      <c r="AF131" s="151">
        <v>10</v>
      </c>
      <c r="AG131" s="151">
        <v>2.5499999999999998</v>
      </c>
      <c r="AH131" s="151">
        <v>3.5</v>
      </c>
      <c r="AI131" s="151">
        <f t="shared" si="12"/>
        <v>1.85</v>
      </c>
      <c r="AJ131" s="151">
        <v>3.5</v>
      </c>
      <c r="AK131" s="151">
        <v>1</v>
      </c>
      <c r="AL131" s="151">
        <v>1.5</v>
      </c>
      <c r="AO131" s="170" t="s">
        <v>323</v>
      </c>
      <c r="AP131" s="171">
        <v>1</v>
      </c>
    </row>
    <row r="132" spans="24:42" ht="25.2" customHeight="1">
      <c r="X132" s="151" t="str">
        <f t="shared" si="10"/>
        <v xml:space="preserve">Chiot (20-35kg adulte) 7 à 8 mois </v>
      </c>
      <c r="Y132" s="151">
        <v>9.5</v>
      </c>
      <c r="Z132" s="151">
        <f t="shared" si="11"/>
        <v>25</v>
      </c>
      <c r="AA132" s="151">
        <v>0</v>
      </c>
      <c r="AB132" s="158">
        <v>45</v>
      </c>
      <c r="AC132" s="151">
        <v>1</v>
      </c>
      <c r="AD132" s="151">
        <v>12</v>
      </c>
      <c r="AE132" s="151">
        <v>4</v>
      </c>
      <c r="AF132" s="151">
        <v>10</v>
      </c>
      <c r="AG132" s="151">
        <v>2.3499999999999996</v>
      </c>
      <c r="AH132" s="151">
        <v>3.5</v>
      </c>
      <c r="AI132" s="151">
        <f t="shared" si="12"/>
        <v>1.6</v>
      </c>
      <c r="AJ132" s="151">
        <v>3.5</v>
      </c>
      <c r="AK132" s="151">
        <v>1</v>
      </c>
      <c r="AL132" s="151">
        <v>1.6</v>
      </c>
      <c r="AO132" s="170" t="s">
        <v>324</v>
      </c>
      <c r="AP132" s="171">
        <v>0.9</v>
      </c>
    </row>
    <row r="133" spans="24:42" ht="25.2" customHeight="1">
      <c r="X133" s="151" t="str">
        <f t="shared" si="10"/>
        <v>Chiot (20-35kg adulte) 9 à 10 mois</v>
      </c>
      <c r="Y133" s="151">
        <v>9.5</v>
      </c>
      <c r="Z133" s="151">
        <f t="shared" si="11"/>
        <v>25</v>
      </c>
      <c r="AA133" s="151">
        <v>0</v>
      </c>
      <c r="AB133" s="158">
        <v>45</v>
      </c>
      <c r="AC133" s="151">
        <v>1</v>
      </c>
      <c r="AD133" s="151">
        <v>12</v>
      </c>
      <c r="AE133" s="151">
        <v>4</v>
      </c>
      <c r="AF133" s="151">
        <v>10</v>
      </c>
      <c r="AG133" s="151">
        <v>2.0499999999999998</v>
      </c>
      <c r="AH133" s="151">
        <v>3.5</v>
      </c>
      <c r="AI133" s="151">
        <f t="shared" si="12"/>
        <v>1.35</v>
      </c>
      <c r="AJ133" s="151">
        <v>3.5</v>
      </c>
      <c r="AK133" s="151">
        <v>1</v>
      </c>
      <c r="AL133" s="151">
        <v>1.6</v>
      </c>
      <c r="AO133" s="170" t="s">
        <v>325</v>
      </c>
      <c r="AP133" s="171">
        <v>0.8</v>
      </c>
    </row>
    <row r="134" spans="24:42" ht="25.2" customHeight="1">
      <c r="X134" s="151" t="str">
        <f t="shared" si="10"/>
        <v>Chiot (20-35kg adulte) 11 à 15 mois</v>
      </c>
      <c r="Y134" s="151">
        <v>9.5</v>
      </c>
      <c r="Z134" s="151">
        <f t="shared" si="11"/>
        <v>25</v>
      </c>
      <c r="AA134" s="151">
        <v>0</v>
      </c>
      <c r="AB134" s="158">
        <v>45</v>
      </c>
      <c r="AC134" s="151">
        <v>1</v>
      </c>
      <c r="AD134" s="151">
        <v>12</v>
      </c>
      <c r="AE134" s="151">
        <v>4</v>
      </c>
      <c r="AF134" s="151">
        <v>10</v>
      </c>
      <c r="AG134" s="151">
        <v>1.3</v>
      </c>
      <c r="AH134" s="151">
        <v>3.75</v>
      </c>
      <c r="AI134" s="151">
        <f t="shared" si="12"/>
        <v>1.2000000000000002</v>
      </c>
      <c r="AJ134" s="151">
        <v>3.5</v>
      </c>
      <c r="AK134" s="151">
        <v>1</v>
      </c>
      <c r="AL134" s="151">
        <v>1.6</v>
      </c>
      <c r="AO134" s="170" t="s">
        <v>326</v>
      </c>
      <c r="AP134" s="171">
        <v>1</v>
      </c>
    </row>
    <row r="135" spans="24:42" ht="25.2" customHeight="1">
      <c r="X135" s="151" t="str">
        <f t="shared" si="10"/>
        <v xml:space="preserve">Chiot (35-50kg adulte) 3 à 5 mois </v>
      </c>
      <c r="Y135" s="151">
        <v>9.5</v>
      </c>
      <c r="Z135" s="151">
        <f t="shared" si="11"/>
        <v>25</v>
      </c>
      <c r="AA135" s="151">
        <v>0</v>
      </c>
      <c r="AB135" s="158">
        <v>45</v>
      </c>
      <c r="AC135" s="151">
        <v>1</v>
      </c>
      <c r="AD135" s="151">
        <v>12</v>
      </c>
      <c r="AE135" s="151">
        <v>4</v>
      </c>
      <c r="AF135" s="151">
        <v>10</v>
      </c>
      <c r="AG135" s="151">
        <v>2.5499999999999998</v>
      </c>
      <c r="AH135" s="151">
        <v>3.5</v>
      </c>
      <c r="AI135" s="151">
        <f t="shared" si="12"/>
        <v>1.85</v>
      </c>
      <c r="AJ135" s="151">
        <v>3.5</v>
      </c>
      <c r="AK135" s="151">
        <v>1</v>
      </c>
      <c r="AL135" s="151">
        <v>1.5</v>
      </c>
      <c r="AO135" s="170" t="s">
        <v>38</v>
      </c>
      <c r="AP135" s="171">
        <v>0.8</v>
      </c>
    </row>
    <row r="136" spans="24:42" ht="25.2" customHeight="1">
      <c r="X136" s="151" t="str">
        <f>AU17</f>
        <v xml:space="preserve">Chiot (35-50kg adulte) 6 à 7 mois </v>
      </c>
      <c r="Y136" s="151">
        <v>9.5</v>
      </c>
      <c r="Z136" s="151">
        <f t="shared" si="11"/>
        <v>25</v>
      </c>
      <c r="AA136" s="151">
        <v>0</v>
      </c>
      <c r="AB136" s="158">
        <v>45</v>
      </c>
      <c r="AC136" s="151">
        <v>1</v>
      </c>
      <c r="AD136" s="151">
        <v>12</v>
      </c>
      <c r="AE136" s="151">
        <v>4</v>
      </c>
      <c r="AF136" s="151">
        <v>10</v>
      </c>
      <c r="AG136" s="151">
        <v>2.3499999999999996</v>
      </c>
      <c r="AH136" s="151">
        <v>3.5</v>
      </c>
      <c r="AI136" s="151">
        <f t="shared" si="12"/>
        <v>1.6</v>
      </c>
      <c r="AJ136" s="151">
        <v>3.5</v>
      </c>
      <c r="AK136" s="151">
        <v>1</v>
      </c>
      <c r="AL136" s="151">
        <v>1.6</v>
      </c>
      <c r="AO136" s="170" t="s">
        <v>39</v>
      </c>
      <c r="AP136" s="171">
        <v>0.8</v>
      </c>
    </row>
    <row r="137" spans="24:42" ht="25.2" customHeight="1">
      <c r="X137" s="151" t="str">
        <f t="shared" si="10"/>
        <v xml:space="preserve">Chiot (35-50kg adulte) 8 à 13 mois </v>
      </c>
      <c r="Y137" s="151">
        <v>9.5</v>
      </c>
      <c r="Z137" s="151">
        <f t="shared" si="11"/>
        <v>25</v>
      </c>
      <c r="AA137" s="151">
        <v>0</v>
      </c>
      <c r="AB137" s="158">
        <v>45</v>
      </c>
      <c r="AC137" s="151">
        <v>1</v>
      </c>
      <c r="AD137" s="151">
        <v>12</v>
      </c>
      <c r="AE137" s="151">
        <v>4</v>
      </c>
      <c r="AF137" s="151">
        <v>10</v>
      </c>
      <c r="AG137" s="151">
        <v>2.0499999999999998</v>
      </c>
      <c r="AH137" s="151">
        <v>3.75</v>
      </c>
      <c r="AI137" s="151">
        <f t="shared" si="12"/>
        <v>1.35</v>
      </c>
      <c r="AJ137" s="151">
        <v>3.5</v>
      </c>
      <c r="AK137" s="151">
        <v>1</v>
      </c>
      <c r="AL137" s="151">
        <v>1.6</v>
      </c>
      <c r="AO137" s="170" t="s">
        <v>40</v>
      </c>
      <c r="AP137" s="171">
        <v>0.8</v>
      </c>
    </row>
    <row r="138" spans="24:42" ht="25.2" customHeight="1">
      <c r="X138" s="151" t="str">
        <f t="shared" si="10"/>
        <v xml:space="preserve">Chiot (35-50kg adulte) 14 à 18 mois </v>
      </c>
      <c r="Y138" s="151">
        <v>9.5</v>
      </c>
      <c r="Z138" s="151">
        <f t="shared" si="11"/>
        <v>25</v>
      </c>
      <c r="AA138" s="151">
        <v>0</v>
      </c>
      <c r="AB138" s="158">
        <v>45</v>
      </c>
      <c r="AC138" s="151">
        <v>1</v>
      </c>
      <c r="AD138" s="151">
        <v>12</v>
      </c>
      <c r="AE138" s="151">
        <v>4</v>
      </c>
      <c r="AF138" s="151">
        <v>10</v>
      </c>
      <c r="AG138" s="151">
        <v>1.3</v>
      </c>
      <c r="AH138" s="151">
        <v>3.75</v>
      </c>
      <c r="AI138" s="151">
        <f t="shared" si="12"/>
        <v>1.2000000000000002</v>
      </c>
      <c r="AJ138" s="151">
        <v>3.5</v>
      </c>
      <c r="AK138" s="151">
        <v>1</v>
      </c>
      <c r="AL138" s="151">
        <v>1.6</v>
      </c>
      <c r="AO138" s="170" t="s">
        <v>327</v>
      </c>
      <c r="AP138" s="171">
        <v>0.9</v>
      </c>
    </row>
    <row r="139" spans="24:42" ht="25.2" customHeight="1">
      <c r="X139" s="151" t="str">
        <f t="shared" si="10"/>
        <v xml:space="preserve">Chiot (&gt; 50kg adulte) 3 à 6 mois </v>
      </c>
      <c r="Y139" s="151">
        <v>9.5</v>
      </c>
      <c r="Z139" s="151">
        <f t="shared" si="11"/>
        <v>25</v>
      </c>
      <c r="AA139" s="151">
        <v>0</v>
      </c>
      <c r="AB139" s="158">
        <v>45</v>
      </c>
      <c r="AC139" s="151">
        <v>1</v>
      </c>
      <c r="AD139" s="151">
        <v>12</v>
      </c>
      <c r="AE139" s="151">
        <v>4</v>
      </c>
      <c r="AF139" s="151">
        <v>10</v>
      </c>
      <c r="AG139" s="151">
        <v>2.5499999999999998</v>
      </c>
      <c r="AH139" s="151">
        <v>3.5</v>
      </c>
      <c r="AI139" s="151">
        <f t="shared" si="12"/>
        <v>1.85</v>
      </c>
      <c r="AJ139" s="151">
        <v>3.5</v>
      </c>
      <c r="AK139" s="151">
        <v>1</v>
      </c>
      <c r="AL139" s="151">
        <v>1.6</v>
      </c>
      <c r="AO139" s="170" t="s">
        <v>41</v>
      </c>
      <c r="AP139" s="171">
        <v>0.9</v>
      </c>
    </row>
    <row r="140" spans="24:42" ht="25.2" customHeight="1">
      <c r="X140" s="151" t="str">
        <f t="shared" si="10"/>
        <v xml:space="preserve">Chiot (&gt; 50kg adulte) 7 à 8 mois </v>
      </c>
      <c r="Y140" s="151">
        <v>9.5</v>
      </c>
      <c r="Z140" s="151">
        <f t="shared" si="11"/>
        <v>25</v>
      </c>
      <c r="AA140" s="151">
        <v>0</v>
      </c>
      <c r="AB140" s="158">
        <v>45</v>
      </c>
      <c r="AC140" s="151">
        <v>1</v>
      </c>
      <c r="AD140" s="151">
        <v>12</v>
      </c>
      <c r="AE140" s="151">
        <v>4</v>
      </c>
      <c r="AF140" s="151">
        <v>10</v>
      </c>
      <c r="AG140" s="151">
        <v>2.3499999999999996</v>
      </c>
      <c r="AH140" s="151">
        <v>3.5</v>
      </c>
      <c r="AI140" s="151">
        <f t="shared" si="12"/>
        <v>1.6</v>
      </c>
      <c r="AJ140" s="151">
        <v>3.5</v>
      </c>
      <c r="AK140" s="151">
        <v>1</v>
      </c>
      <c r="AL140" s="151">
        <v>1.6</v>
      </c>
      <c r="AO140" s="170" t="s">
        <v>42</v>
      </c>
      <c r="AP140" s="171">
        <v>1.2</v>
      </c>
    </row>
    <row r="141" spans="24:42" ht="25.2" customHeight="1">
      <c r="X141" s="151" t="str">
        <f t="shared" si="10"/>
        <v xml:space="preserve">Chiot (&gt; 50kg adulte) 9 à 13 mois </v>
      </c>
      <c r="Y141" s="151">
        <v>9.5</v>
      </c>
      <c r="Z141" s="151">
        <f t="shared" si="11"/>
        <v>25</v>
      </c>
      <c r="AA141" s="151">
        <v>0</v>
      </c>
      <c r="AB141" s="158">
        <v>45</v>
      </c>
      <c r="AC141" s="151">
        <v>1</v>
      </c>
      <c r="AD141" s="151">
        <v>12</v>
      </c>
      <c r="AE141" s="151">
        <v>4</v>
      </c>
      <c r="AF141" s="151">
        <v>10</v>
      </c>
      <c r="AG141" s="151">
        <v>2.0499999999999998</v>
      </c>
      <c r="AH141" s="151">
        <v>3.75</v>
      </c>
      <c r="AI141" s="151">
        <f t="shared" si="12"/>
        <v>1.35</v>
      </c>
      <c r="AJ141" s="151">
        <v>3.5</v>
      </c>
      <c r="AK141" s="151">
        <v>1</v>
      </c>
      <c r="AL141" s="151">
        <v>1.6</v>
      </c>
      <c r="AO141" s="170" t="s">
        <v>328</v>
      </c>
      <c r="AP141" s="171">
        <v>1.2</v>
      </c>
    </row>
    <row r="142" spans="24:42" ht="25.2" customHeight="1">
      <c r="X142" s="151" t="str">
        <f t="shared" si="10"/>
        <v xml:space="preserve">Chiot (&gt; 50kg adulte) 14 à 21 mois </v>
      </c>
      <c r="Y142" s="151">
        <v>9.5</v>
      </c>
      <c r="Z142" s="151">
        <f t="shared" si="11"/>
        <v>25</v>
      </c>
      <c r="AA142" s="151">
        <v>0</v>
      </c>
      <c r="AB142" s="158">
        <v>45</v>
      </c>
      <c r="AC142" s="151">
        <v>1</v>
      </c>
      <c r="AD142" s="151">
        <v>12</v>
      </c>
      <c r="AE142" s="151">
        <v>4</v>
      </c>
      <c r="AF142" s="151">
        <v>10</v>
      </c>
      <c r="AG142" s="151">
        <v>1.3</v>
      </c>
      <c r="AH142" s="151">
        <v>3.75</v>
      </c>
      <c r="AI142" s="151">
        <f t="shared" si="12"/>
        <v>1.2000000000000002</v>
      </c>
      <c r="AJ142" s="151">
        <v>3.5</v>
      </c>
      <c r="AK142" s="151">
        <v>1</v>
      </c>
      <c r="AL142" s="151">
        <v>1.6</v>
      </c>
      <c r="AO142" s="170" t="s">
        <v>329</v>
      </c>
      <c r="AP142" s="171">
        <v>1.2</v>
      </c>
    </row>
    <row r="143" spans="24:42" ht="25.2" customHeight="1">
      <c r="X143" s="151" t="str">
        <f t="shared" si="10"/>
        <v>Gestation 1er tiers</v>
      </c>
      <c r="Y143" s="151">
        <v>9.5</v>
      </c>
      <c r="Z143" s="151">
        <f t="shared" si="11"/>
        <v>25</v>
      </c>
      <c r="AA143" s="151">
        <v>0</v>
      </c>
      <c r="AB143" s="158">
        <v>45</v>
      </c>
      <c r="AC143" s="151">
        <v>1</v>
      </c>
      <c r="AD143" s="151">
        <v>12</v>
      </c>
      <c r="AE143" s="151">
        <v>4</v>
      </c>
      <c r="AF143" s="151">
        <v>10</v>
      </c>
      <c r="AG143" s="151">
        <v>1.3</v>
      </c>
      <c r="AH143" s="151">
        <v>5</v>
      </c>
      <c r="AI143" s="151">
        <f t="shared" si="12"/>
        <v>1.1000000000000001</v>
      </c>
      <c r="AJ143" s="151">
        <v>3.5</v>
      </c>
      <c r="AK143" s="151">
        <v>1</v>
      </c>
      <c r="AL143" s="151">
        <v>1.5</v>
      </c>
      <c r="AO143" s="170" t="s">
        <v>330</v>
      </c>
      <c r="AP143" s="171">
        <v>1.2</v>
      </c>
    </row>
    <row r="144" spans="24:42" ht="25.2" customHeight="1">
      <c r="X144" s="151" t="str">
        <f t="shared" si="10"/>
        <v>Gestation 2ème tiers</v>
      </c>
      <c r="Y144" s="151">
        <v>9.5</v>
      </c>
      <c r="Z144" s="151">
        <f t="shared" si="11"/>
        <v>25</v>
      </c>
      <c r="AA144" s="151">
        <v>0</v>
      </c>
      <c r="AB144" s="158">
        <v>45</v>
      </c>
      <c r="AC144" s="151">
        <v>1</v>
      </c>
      <c r="AD144" s="151">
        <v>12</v>
      </c>
      <c r="AE144" s="151">
        <v>4</v>
      </c>
      <c r="AF144" s="151">
        <v>10</v>
      </c>
      <c r="AG144" s="151">
        <v>1.55</v>
      </c>
      <c r="AH144" s="151">
        <v>5</v>
      </c>
      <c r="AI144" s="151">
        <f t="shared" si="12"/>
        <v>1.3</v>
      </c>
      <c r="AJ144" s="151">
        <v>3.5</v>
      </c>
      <c r="AK144" s="151">
        <v>1</v>
      </c>
      <c r="AL144" s="151">
        <v>1.5</v>
      </c>
      <c r="AO144" s="170" t="s">
        <v>43</v>
      </c>
      <c r="AP144" s="171">
        <v>1.2</v>
      </c>
    </row>
    <row r="145" spans="24:42" ht="25.2" customHeight="1">
      <c r="X145" s="151" t="str">
        <f>AU26</f>
        <v>Gestation 3ème tiers</v>
      </c>
      <c r="Y145" s="151">
        <v>9.5</v>
      </c>
      <c r="Z145" s="151">
        <f t="shared" si="11"/>
        <v>25</v>
      </c>
      <c r="AA145" s="151">
        <v>0</v>
      </c>
      <c r="AB145" s="158">
        <v>45</v>
      </c>
      <c r="AC145" s="151">
        <v>1</v>
      </c>
      <c r="AD145" s="151">
        <v>12</v>
      </c>
      <c r="AE145" s="151">
        <v>4</v>
      </c>
      <c r="AF145" s="151">
        <v>10</v>
      </c>
      <c r="AG145" s="151">
        <v>2.0499999999999998</v>
      </c>
      <c r="AH145" s="151">
        <v>5</v>
      </c>
      <c r="AI145" s="151">
        <f t="shared" si="12"/>
        <v>1.6</v>
      </c>
      <c r="AJ145" s="151">
        <v>3.5</v>
      </c>
      <c r="AK145" s="151">
        <v>1</v>
      </c>
      <c r="AL145" s="151">
        <v>1.5</v>
      </c>
      <c r="AO145" s="170" t="s">
        <v>331</v>
      </c>
      <c r="AP145" s="171">
        <v>1.2</v>
      </c>
    </row>
    <row r="146" spans="24:42" ht="25.2" customHeight="1">
      <c r="X146" s="151" t="str">
        <f t="shared" si="10"/>
        <v xml:space="preserve">Lactation </v>
      </c>
      <c r="Y146" s="151">
        <v>9.5</v>
      </c>
      <c r="Z146" s="151">
        <f t="shared" si="11"/>
        <v>25</v>
      </c>
      <c r="AA146" s="151">
        <v>0</v>
      </c>
      <c r="AB146" s="158">
        <v>45</v>
      </c>
      <c r="AC146" s="151">
        <v>1</v>
      </c>
      <c r="AD146" s="151">
        <v>12</v>
      </c>
      <c r="AE146" s="151">
        <v>4</v>
      </c>
      <c r="AF146" s="151">
        <v>10</v>
      </c>
      <c r="AG146" s="151">
        <v>2.0499999999999998</v>
      </c>
      <c r="AH146" s="151">
        <v>5</v>
      </c>
      <c r="AI146" s="151">
        <f t="shared" si="12"/>
        <v>1.1000000000000001</v>
      </c>
      <c r="AJ146" s="151">
        <v>3.5</v>
      </c>
      <c r="AK146" s="151">
        <v>1</v>
      </c>
      <c r="AL146" s="151">
        <v>1.5</v>
      </c>
      <c r="AO146" s="170" t="s">
        <v>44</v>
      </c>
      <c r="AP146" s="171">
        <v>1</v>
      </c>
    </row>
    <row r="147" spans="24:42" ht="25.2" customHeight="1">
      <c r="AO147" s="170" t="s">
        <v>45</v>
      </c>
      <c r="AP147" s="171">
        <v>0.8</v>
      </c>
    </row>
    <row r="148" spans="24:42" ht="25.2" customHeight="1">
      <c r="AO148" s="170" t="s">
        <v>332</v>
      </c>
      <c r="AP148" s="171">
        <v>1</v>
      </c>
    </row>
    <row r="149" spans="24:42" ht="25.2" customHeight="1">
      <c r="AO149" s="170" t="s">
        <v>46</v>
      </c>
      <c r="AP149" s="171">
        <v>0.9</v>
      </c>
    </row>
    <row r="150" spans="24:42" ht="25.2" customHeight="1">
      <c r="AO150" s="170" t="s">
        <v>333</v>
      </c>
      <c r="AP150" s="171">
        <v>0.9</v>
      </c>
    </row>
    <row r="151" spans="24:42" ht="25.2" customHeight="1">
      <c r="AO151" s="170" t="s">
        <v>334</v>
      </c>
      <c r="AP151" s="171">
        <v>0.9</v>
      </c>
    </row>
    <row r="152" spans="24:42" ht="25.2" customHeight="1">
      <c r="AO152" s="170" t="s">
        <v>47</v>
      </c>
      <c r="AP152" s="171">
        <v>0.9</v>
      </c>
    </row>
    <row r="153" spans="24:42" ht="25.2" customHeight="1">
      <c r="AO153" s="170" t="s">
        <v>335</v>
      </c>
      <c r="AP153" s="171">
        <v>1</v>
      </c>
    </row>
    <row r="154" spans="24:42" ht="25.2" customHeight="1">
      <c r="AO154" s="170" t="s">
        <v>336</v>
      </c>
      <c r="AP154" s="171">
        <v>1</v>
      </c>
    </row>
    <row r="155" spans="24:42" ht="25.2" customHeight="1">
      <c r="AO155" s="170" t="s">
        <v>337</v>
      </c>
      <c r="AP155" s="171">
        <v>1</v>
      </c>
    </row>
    <row r="156" spans="24:42" ht="25.2" customHeight="1">
      <c r="AO156" s="170" t="s">
        <v>338</v>
      </c>
      <c r="AP156" s="171">
        <v>1</v>
      </c>
    </row>
    <row r="157" spans="24:42" ht="25.2" customHeight="1">
      <c r="AO157" s="170" t="s">
        <v>48</v>
      </c>
      <c r="AP157" s="171">
        <v>1.2</v>
      </c>
    </row>
    <row r="158" spans="24:42" ht="25.2" customHeight="1">
      <c r="AO158" s="170" t="s">
        <v>339</v>
      </c>
      <c r="AP158" s="171">
        <v>1</v>
      </c>
    </row>
    <row r="159" spans="24:42" ht="25.2" customHeight="1">
      <c r="AO159" s="170" t="s">
        <v>340</v>
      </c>
      <c r="AP159" s="171">
        <v>1</v>
      </c>
    </row>
    <row r="160" spans="24:42" ht="25.2" customHeight="1">
      <c r="AO160" s="170" t="s">
        <v>341</v>
      </c>
      <c r="AP160" s="171">
        <v>1</v>
      </c>
    </row>
    <row r="161" spans="41:42" ht="25.2" customHeight="1">
      <c r="AO161" s="170" t="s">
        <v>342</v>
      </c>
      <c r="AP161" s="171">
        <v>1</v>
      </c>
    </row>
    <row r="162" spans="41:42" ht="25.2" customHeight="1">
      <c r="AO162" s="170" t="s">
        <v>343</v>
      </c>
      <c r="AP162" s="171">
        <v>1</v>
      </c>
    </row>
    <row r="163" spans="41:42" ht="25.2" customHeight="1">
      <c r="AO163" s="170" t="s">
        <v>344</v>
      </c>
      <c r="AP163" s="171">
        <v>1</v>
      </c>
    </row>
    <row r="164" spans="41:42" ht="25.2" customHeight="1">
      <c r="AO164" s="170" t="s">
        <v>49</v>
      </c>
      <c r="AP164" s="171">
        <v>0.9</v>
      </c>
    </row>
    <row r="165" spans="41:42" ht="25.2" customHeight="1">
      <c r="AO165" s="170" t="s">
        <v>559</v>
      </c>
      <c r="AP165" s="171">
        <v>1</v>
      </c>
    </row>
    <row r="166" spans="41:42" ht="25.2" customHeight="1">
      <c r="AO166" s="170" t="s">
        <v>50</v>
      </c>
      <c r="AP166" s="171">
        <v>0.9</v>
      </c>
    </row>
    <row r="167" spans="41:42" ht="25.2" customHeight="1">
      <c r="AO167" s="170" t="s">
        <v>345</v>
      </c>
      <c r="AP167" s="171">
        <v>0.9</v>
      </c>
    </row>
    <row r="168" spans="41:42" ht="25.2" customHeight="1">
      <c r="AO168" s="170" t="s">
        <v>51</v>
      </c>
      <c r="AP168" s="171">
        <v>1.2</v>
      </c>
    </row>
    <row r="169" spans="41:42" ht="25.2" customHeight="1">
      <c r="AO169" s="170" t="s">
        <v>52</v>
      </c>
      <c r="AP169" s="171">
        <v>0.8</v>
      </c>
    </row>
    <row r="170" spans="41:42" ht="25.2" customHeight="1">
      <c r="AO170" s="170" t="s">
        <v>346</v>
      </c>
      <c r="AP170" s="171">
        <v>0.9</v>
      </c>
    </row>
    <row r="171" spans="41:42" ht="25.2" customHeight="1">
      <c r="AO171" s="170" t="s">
        <v>347</v>
      </c>
      <c r="AP171" s="171">
        <v>1</v>
      </c>
    </row>
    <row r="172" spans="41:42" ht="25.2" customHeight="1">
      <c r="AO172" s="170" t="s">
        <v>348</v>
      </c>
      <c r="AP172" s="171">
        <v>1</v>
      </c>
    </row>
    <row r="173" spans="41:42" ht="25.2" customHeight="1">
      <c r="AO173" s="170" t="s">
        <v>349</v>
      </c>
      <c r="AP173" s="171">
        <v>1</v>
      </c>
    </row>
    <row r="174" spans="41:42" ht="25.2" customHeight="1">
      <c r="AO174" s="170" t="s">
        <v>53</v>
      </c>
      <c r="AP174" s="171">
        <v>1</v>
      </c>
    </row>
    <row r="175" spans="41:42" ht="25.2" customHeight="1">
      <c r="AO175" s="170" t="s">
        <v>350</v>
      </c>
      <c r="AP175" s="171">
        <v>1</v>
      </c>
    </row>
    <row r="176" spans="41:42" ht="25.2" customHeight="1">
      <c r="AO176" s="170" t="s">
        <v>54</v>
      </c>
      <c r="AP176" s="171">
        <v>1</v>
      </c>
    </row>
    <row r="177" spans="1:68" ht="25.2" customHeight="1">
      <c r="AO177" s="170" t="s">
        <v>351</v>
      </c>
      <c r="AP177" s="171">
        <v>1</v>
      </c>
    </row>
    <row r="178" spans="1:68" s="26" customFormat="1" ht="25.2" customHeight="1">
      <c r="A178" s="28"/>
      <c r="B178" s="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89"/>
      <c r="N178" s="89"/>
      <c r="O178" s="89"/>
      <c r="P178" s="89"/>
      <c r="Q178" s="28"/>
      <c r="R178" s="28"/>
      <c r="S178" s="28"/>
      <c r="T178" s="28"/>
      <c r="U178" s="28"/>
      <c r="V178" s="28"/>
      <c r="W178" s="163"/>
      <c r="X178" s="164"/>
      <c r="Y178" s="164"/>
      <c r="Z178" s="164"/>
      <c r="AA178" s="164"/>
      <c r="AB178" s="167"/>
      <c r="AC178" s="164"/>
      <c r="AD178" s="164"/>
      <c r="AE178" s="164"/>
      <c r="AF178" s="164"/>
      <c r="AG178" s="164"/>
      <c r="AH178" s="164"/>
      <c r="AI178" s="164"/>
      <c r="AJ178" s="164"/>
      <c r="AK178" s="164"/>
      <c r="AL178" s="164"/>
      <c r="AM178" s="164"/>
      <c r="AN178" s="164"/>
      <c r="AO178" s="170" t="s">
        <v>352</v>
      </c>
      <c r="AP178" s="171">
        <v>1</v>
      </c>
      <c r="AQ178" s="165"/>
      <c r="AR178" s="164"/>
      <c r="AS178" s="164"/>
      <c r="AT178" s="164"/>
      <c r="AU178" s="164"/>
      <c r="AV178" s="164"/>
      <c r="AW178" s="164"/>
      <c r="AX178" s="164"/>
      <c r="AY178" s="164"/>
      <c r="AZ178" s="164"/>
      <c r="BA178" s="164"/>
      <c r="BB178" s="164"/>
      <c r="BC178" s="164"/>
      <c r="BD178" s="164"/>
      <c r="BE178" s="164"/>
      <c r="BF178" s="164"/>
      <c r="BG178" s="164"/>
      <c r="BH178" s="164"/>
      <c r="BI178" s="164"/>
      <c r="BJ178" s="164"/>
      <c r="BK178" s="164"/>
      <c r="BL178" s="164"/>
      <c r="BM178" s="164"/>
      <c r="BN178" s="164"/>
      <c r="BO178" s="164"/>
      <c r="BP178" s="164"/>
    </row>
    <row r="179" spans="1:68" ht="25.2" customHeight="1">
      <c r="AO179" s="170" t="s">
        <v>493</v>
      </c>
      <c r="AP179" s="171">
        <v>1</v>
      </c>
    </row>
    <row r="180" spans="1:68" ht="25.2" customHeight="1">
      <c r="AO180" s="170" t="s">
        <v>561</v>
      </c>
      <c r="AP180" s="171">
        <v>1</v>
      </c>
    </row>
    <row r="181" spans="1:68" ht="25.2" customHeight="1">
      <c r="AO181" s="170" t="s">
        <v>55</v>
      </c>
      <c r="AP181" s="171">
        <v>1.2</v>
      </c>
    </row>
    <row r="182" spans="1:68" ht="25.2" customHeight="1">
      <c r="AO182" s="170" t="s">
        <v>56</v>
      </c>
      <c r="AP182" s="171">
        <v>1</v>
      </c>
    </row>
    <row r="183" spans="1:68" ht="25.2" customHeight="1">
      <c r="AO183" s="170" t="s">
        <v>353</v>
      </c>
      <c r="AP183" s="171">
        <v>1</v>
      </c>
    </row>
    <row r="184" spans="1:68" ht="25.2" customHeight="1">
      <c r="AO184" s="170" t="s">
        <v>354</v>
      </c>
      <c r="AP184" s="171">
        <v>1</v>
      </c>
    </row>
    <row r="185" spans="1:68" ht="25.2" customHeight="1">
      <c r="AO185" s="170" t="s">
        <v>57</v>
      </c>
      <c r="AP185" s="171">
        <v>1</v>
      </c>
    </row>
    <row r="186" spans="1:68" ht="25.2" customHeight="1">
      <c r="AO186" s="170" t="s">
        <v>58</v>
      </c>
      <c r="AP186" s="171">
        <v>1</v>
      </c>
    </row>
    <row r="187" spans="1:68" ht="25.2" customHeight="1">
      <c r="AO187" s="170" t="s">
        <v>59</v>
      </c>
      <c r="AP187" s="171">
        <v>1</v>
      </c>
    </row>
    <row r="188" spans="1:68" ht="25.2" customHeight="1">
      <c r="AO188" s="170" t="s">
        <v>60</v>
      </c>
      <c r="AP188" s="171">
        <v>1</v>
      </c>
    </row>
    <row r="189" spans="1:68" ht="25.2" customHeight="1">
      <c r="AO189" s="170" t="s">
        <v>355</v>
      </c>
      <c r="AP189" s="171">
        <v>1</v>
      </c>
    </row>
    <row r="190" spans="1:68" ht="25.2" customHeight="1">
      <c r="AO190" s="170" t="s">
        <v>356</v>
      </c>
      <c r="AP190" s="171">
        <v>1</v>
      </c>
    </row>
    <row r="191" spans="1:68" ht="25.2" customHeight="1">
      <c r="AO191" s="170" t="s">
        <v>357</v>
      </c>
      <c r="AP191" s="171">
        <v>1</v>
      </c>
    </row>
    <row r="192" spans="1:68" ht="25.2" customHeight="1">
      <c r="AO192" s="170" t="s">
        <v>61</v>
      </c>
      <c r="AP192" s="171">
        <v>1</v>
      </c>
    </row>
    <row r="193" spans="1:68" ht="25.2" customHeight="1">
      <c r="AO193" s="170" t="s">
        <v>62</v>
      </c>
      <c r="AP193" s="171">
        <v>1</v>
      </c>
    </row>
    <row r="194" spans="1:68" ht="25.2" customHeight="1">
      <c r="AO194" s="170" t="s">
        <v>63</v>
      </c>
      <c r="AP194" s="171">
        <v>0.9</v>
      </c>
    </row>
    <row r="195" spans="1:68" ht="25.2" customHeight="1">
      <c r="AO195" s="170" t="s">
        <v>358</v>
      </c>
      <c r="AP195" s="171">
        <v>1</v>
      </c>
    </row>
    <row r="196" spans="1:68" s="26" customFormat="1" ht="25.2" customHeight="1">
      <c r="A196" s="28"/>
      <c r="B196" s="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89"/>
      <c r="N196" s="89"/>
      <c r="O196" s="89"/>
      <c r="P196" s="89"/>
      <c r="Q196" s="28"/>
      <c r="R196" s="28"/>
      <c r="S196" s="28"/>
      <c r="T196" s="28"/>
      <c r="U196" s="28"/>
      <c r="V196" s="28"/>
      <c r="W196" s="163"/>
      <c r="X196" s="164"/>
      <c r="Y196" s="164"/>
      <c r="Z196" s="164"/>
      <c r="AA196" s="164"/>
      <c r="AB196" s="167"/>
      <c r="AC196" s="164"/>
      <c r="AD196" s="164"/>
      <c r="AE196" s="164"/>
      <c r="AF196" s="164"/>
      <c r="AG196" s="164"/>
      <c r="AH196" s="164"/>
      <c r="AI196" s="164"/>
      <c r="AJ196" s="164"/>
      <c r="AK196" s="164"/>
      <c r="AL196" s="164"/>
      <c r="AM196" s="164"/>
      <c r="AN196" s="164"/>
      <c r="AO196" s="170" t="s">
        <v>64</v>
      </c>
      <c r="AP196" s="171">
        <v>1</v>
      </c>
      <c r="AQ196" s="165"/>
      <c r="AR196" s="164"/>
      <c r="AS196" s="164"/>
      <c r="AT196" s="164"/>
      <c r="AU196" s="164"/>
      <c r="AV196" s="164"/>
      <c r="AW196" s="164"/>
      <c r="AX196" s="164"/>
      <c r="AY196" s="164"/>
      <c r="AZ196" s="164"/>
      <c r="BA196" s="164"/>
      <c r="BB196" s="164"/>
      <c r="BC196" s="164"/>
      <c r="BD196" s="164"/>
      <c r="BE196" s="164"/>
      <c r="BF196" s="164"/>
      <c r="BG196" s="164"/>
      <c r="BH196" s="164"/>
      <c r="BI196" s="164"/>
      <c r="BJ196" s="164"/>
      <c r="BK196" s="164"/>
      <c r="BL196" s="164"/>
      <c r="BM196" s="164"/>
      <c r="BN196" s="164"/>
      <c r="BO196" s="164"/>
      <c r="BP196" s="164"/>
    </row>
    <row r="197" spans="1:68" ht="25.2" customHeight="1">
      <c r="AO197" s="170" t="s">
        <v>359</v>
      </c>
      <c r="AP197" s="171">
        <v>1</v>
      </c>
    </row>
    <row r="198" spans="1:68" ht="25.2" customHeight="1">
      <c r="AO198" s="170" t="s">
        <v>560</v>
      </c>
      <c r="AP198" s="171">
        <v>1</v>
      </c>
    </row>
    <row r="199" spans="1:68" ht="25.2" customHeight="1">
      <c r="AO199" s="170" t="s">
        <v>88</v>
      </c>
      <c r="AP199" s="171">
        <v>0.9</v>
      </c>
    </row>
    <row r="200" spans="1:68" ht="25.2" customHeight="1">
      <c r="AO200" s="170" t="s">
        <v>360</v>
      </c>
      <c r="AP200" s="171">
        <v>1</v>
      </c>
    </row>
    <row r="201" spans="1:68" ht="25.2" customHeight="1">
      <c r="AO201" s="170" t="s">
        <v>361</v>
      </c>
      <c r="AP201" s="171">
        <v>1</v>
      </c>
    </row>
    <row r="202" spans="1:68" ht="25.2" customHeight="1">
      <c r="AO202" s="170" t="s">
        <v>362</v>
      </c>
      <c r="AP202" s="171">
        <v>1.2</v>
      </c>
    </row>
    <row r="203" spans="1:68" ht="25.2" customHeight="1">
      <c r="AO203" s="170" t="s">
        <v>85</v>
      </c>
      <c r="AP203" s="171">
        <v>1</v>
      </c>
    </row>
    <row r="204" spans="1:68" ht="25.2" customHeight="1">
      <c r="AO204" s="170" t="s">
        <v>65</v>
      </c>
      <c r="AP204" s="171">
        <v>1</v>
      </c>
    </row>
    <row r="206" spans="1:68">
      <c r="AO206" s="194"/>
    </row>
  </sheetData>
  <sheetProtection algorithmName="SHA-512" hashValue="ULohnG0Aw4ZzKQKoZjxUX2JM6U0pdfy3nevc7PtChMjRcCbH2v+TMVm5cV9P00mf3Zci/Of6wWb4cIbNwIxzqQ==" saltValue="cKETJ1xp6xF5lA8Kl2OgFA==" spinCount="100000" sheet="1" objects="1" scenarios="1" selectLockedCells="1"/>
  <mergeCells count="122">
    <mergeCell ref="AI121:AJ121"/>
    <mergeCell ref="AK121:AL121"/>
    <mergeCell ref="X121:X122"/>
    <mergeCell ref="Y121:Z121"/>
    <mergeCell ref="AA121:AB121"/>
    <mergeCell ref="AC121:AD121"/>
    <mergeCell ref="AE121:AF121"/>
    <mergeCell ref="AG121:AH121"/>
    <mergeCell ref="AG91:AH91"/>
    <mergeCell ref="AI91:AJ91"/>
    <mergeCell ref="AK91:AL91"/>
    <mergeCell ref="AB24:AC24"/>
    <mergeCell ref="X91:X92"/>
    <mergeCell ref="Y91:Z91"/>
    <mergeCell ref="AA91:AB91"/>
    <mergeCell ref="AC91:AD91"/>
    <mergeCell ref="AE91:AF91"/>
    <mergeCell ref="Y72:AH72"/>
    <mergeCell ref="AC1:AE1"/>
    <mergeCell ref="F12:H12"/>
    <mergeCell ref="J22:K22"/>
    <mergeCell ref="K7:L7"/>
    <mergeCell ref="F8:H8"/>
    <mergeCell ref="F14:H14"/>
    <mergeCell ref="F15:H15"/>
    <mergeCell ref="F21:L21"/>
    <mergeCell ref="Y2:Z2"/>
    <mergeCell ref="F9:H9"/>
    <mergeCell ref="AG67:AL67"/>
    <mergeCell ref="AB26:AC26"/>
    <mergeCell ref="AH59:AJ59"/>
    <mergeCell ref="Y37:Z37"/>
    <mergeCell ref="C21:D21"/>
    <mergeCell ref="C20:D20"/>
    <mergeCell ref="B26:D26"/>
    <mergeCell ref="C22:D22"/>
    <mergeCell ref="AA39:AA59"/>
    <mergeCell ref="Y31:AC31"/>
    <mergeCell ref="B7:C7"/>
    <mergeCell ref="B9:D9"/>
    <mergeCell ref="B16:D18"/>
    <mergeCell ref="F16:H16"/>
    <mergeCell ref="I7:J7"/>
    <mergeCell ref="F18:H18"/>
    <mergeCell ref="F17:H17"/>
    <mergeCell ref="F11:H11"/>
    <mergeCell ref="F7:H7"/>
    <mergeCell ref="F10:H10"/>
    <mergeCell ref="AG29:AL29"/>
    <mergeCell ref="Y8:Z8"/>
    <mergeCell ref="Y36:Z36"/>
    <mergeCell ref="Y39:Z39"/>
    <mergeCell ref="AC5:AE5"/>
    <mergeCell ref="AC32:AC35"/>
    <mergeCell ref="AG28:AL28"/>
    <mergeCell ref="F25:L25"/>
    <mergeCell ref="AG62:AJ62"/>
    <mergeCell ref="AF64:AL64"/>
    <mergeCell ref="Y64:Z64"/>
    <mergeCell ref="Y35:Z35"/>
    <mergeCell ref="AU40:AV40"/>
    <mergeCell ref="AR40:AS40"/>
    <mergeCell ref="AF30:AL30"/>
    <mergeCell ref="AG31:AL31"/>
    <mergeCell ref="AG32:AL32"/>
    <mergeCell ref="AR18:AS18"/>
    <mergeCell ref="AB29:AC29"/>
    <mergeCell ref="AG61:AJ61"/>
    <mergeCell ref="AG60:AJ60"/>
    <mergeCell ref="AB39:AC39"/>
    <mergeCell ref="Y34:Z34"/>
    <mergeCell ref="AB25:AC25"/>
    <mergeCell ref="Y33:Z33"/>
    <mergeCell ref="AG58:AK58"/>
    <mergeCell ref="AR27:AS27"/>
    <mergeCell ref="C25:D25"/>
    <mergeCell ref="C23:D23"/>
    <mergeCell ref="B41:D41"/>
    <mergeCell ref="B44:D44"/>
    <mergeCell ref="B38:D39"/>
    <mergeCell ref="F27:L27"/>
    <mergeCell ref="B42:D42"/>
    <mergeCell ref="F39:L39"/>
    <mergeCell ref="B43:D43"/>
    <mergeCell ref="B40:D40"/>
    <mergeCell ref="B33:D33"/>
    <mergeCell ref="B34:D35"/>
    <mergeCell ref="B36:D37"/>
    <mergeCell ref="F13:H13"/>
    <mergeCell ref="F22:I22"/>
    <mergeCell ref="C19:D19"/>
    <mergeCell ref="B28:D28"/>
    <mergeCell ref="C24:D24"/>
    <mergeCell ref="F20:H20"/>
    <mergeCell ref="F19:H19"/>
    <mergeCell ref="AW3:AZ3"/>
    <mergeCell ref="AC7:AE7"/>
    <mergeCell ref="AC4:AE4"/>
    <mergeCell ref="AC6:AE6"/>
    <mergeCell ref="AC3:AE3"/>
    <mergeCell ref="AR3:AS3"/>
    <mergeCell ref="AO3:AP3"/>
    <mergeCell ref="BD2:BM2"/>
    <mergeCell ref="F33:G33"/>
    <mergeCell ref="F32:L32"/>
    <mergeCell ref="F29:I29"/>
    <mergeCell ref="J29:K29"/>
    <mergeCell ref="F28:I28"/>
    <mergeCell ref="AO2:BA2"/>
    <mergeCell ref="F31:I31"/>
    <mergeCell ref="AC2:AE2"/>
    <mergeCell ref="AU3:AV3"/>
    <mergeCell ref="B10:D13"/>
    <mergeCell ref="B46:C47"/>
    <mergeCell ref="K50:L50"/>
    <mergeCell ref="B2:L5"/>
    <mergeCell ref="B1:H1"/>
    <mergeCell ref="J31:K31"/>
    <mergeCell ref="F30:I30"/>
    <mergeCell ref="J30:K30"/>
    <mergeCell ref="B30:D32"/>
    <mergeCell ref="B27:D27"/>
  </mergeCells>
  <conditionalFormatting sqref="AB33">
    <cfRule type="cellIs" dxfId="101" priority="597" stopIfTrue="1" operator="between">
      <formula>0</formula>
      <formula>0</formula>
    </cfRule>
    <cfRule type="containsErrors" dxfId="100" priority="598" stopIfTrue="1">
      <formula>ISERROR(AB33)</formula>
    </cfRule>
  </conditionalFormatting>
  <conditionalFormatting sqref="C19:D19">
    <cfRule type="expression" dxfId="99" priority="378" stopIfTrue="1">
      <formula>$C$19&lt;&gt;""</formula>
    </cfRule>
  </conditionalFormatting>
  <conditionalFormatting sqref="C22:D22">
    <cfRule type="expression" dxfId="98" priority="375" stopIfTrue="1">
      <formula>$C$22&lt;&gt;""</formula>
    </cfRule>
  </conditionalFormatting>
  <conditionalFormatting sqref="C23:D23">
    <cfRule type="expression" dxfId="97" priority="3" stopIfTrue="1">
      <formula>$AJ$16=1</formula>
    </cfRule>
    <cfRule type="expression" dxfId="96" priority="374" stopIfTrue="1">
      <formula>$C$23&lt;&gt;""</formula>
    </cfRule>
  </conditionalFormatting>
  <conditionalFormatting sqref="C24:D24">
    <cfRule type="expression" dxfId="95" priority="373" stopIfTrue="1">
      <formula>$C$24&lt;&gt;""</formula>
    </cfRule>
  </conditionalFormatting>
  <conditionalFormatting sqref="C15">
    <cfRule type="cellIs" dxfId="94" priority="257" stopIfTrue="1" operator="between">
      <formula>0.0001</formula>
      <formula>1000</formula>
    </cfRule>
  </conditionalFormatting>
  <conditionalFormatting sqref="K9">
    <cfRule type="expression" dxfId="93" priority="897" stopIfTrue="1">
      <formula>$Z$43=1</formula>
    </cfRule>
  </conditionalFormatting>
  <conditionalFormatting sqref="K14">
    <cfRule type="expression" dxfId="92" priority="208" stopIfTrue="1">
      <formula>$Z$48&lt;5</formula>
    </cfRule>
    <cfRule type="expression" dxfId="91" priority="217" stopIfTrue="1">
      <formula>AD12=0</formula>
    </cfRule>
  </conditionalFormatting>
  <conditionalFormatting sqref="I9">
    <cfRule type="expression" dxfId="90" priority="889" stopIfTrue="1">
      <formula>$AC$48=1</formula>
    </cfRule>
  </conditionalFormatting>
  <conditionalFormatting sqref="K10">
    <cfRule type="expression" dxfId="89" priority="898" stopIfTrue="1">
      <formula>$Z$44=1</formula>
    </cfRule>
  </conditionalFormatting>
  <conditionalFormatting sqref="K11">
    <cfRule type="expression" dxfId="88" priority="899" stopIfTrue="1">
      <formula>$Z$45=1</formula>
    </cfRule>
  </conditionalFormatting>
  <conditionalFormatting sqref="K12">
    <cfRule type="expression" dxfId="87" priority="900" stopIfTrue="1">
      <formula>$Z$46=1</formula>
    </cfRule>
  </conditionalFormatting>
  <conditionalFormatting sqref="K13">
    <cfRule type="expression" dxfId="86" priority="901" stopIfTrue="1">
      <formula>$Z$47=1</formula>
    </cfRule>
  </conditionalFormatting>
  <conditionalFormatting sqref="I18">
    <cfRule type="expression" dxfId="85" priority="895" stopIfTrue="1">
      <formula>$Z$40=1</formula>
    </cfRule>
  </conditionalFormatting>
  <conditionalFormatting sqref="I19">
    <cfRule type="expression" dxfId="84" priority="896" stopIfTrue="1">
      <formula>$Z$41=1</formula>
    </cfRule>
  </conditionalFormatting>
  <conditionalFormatting sqref="K18">
    <cfRule type="expression" dxfId="83" priority="903" stopIfTrue="1">
      <formula>$Z$49=1</formula>
    </cfRule>
  </conditionalFormatting>
  <conditionalFormatting sqref="K19">
    <cfRule type="expression" dxfId="82" priority="904" stopIfTrue="1">
      <formula>$Z$50=1</formula>
    </cfRule>
  </conditionalFormatting>
  <conditionalFormatting sqref="L14">
    <cfRule type="cellIs" priority="227" stopIfTrue="1" operator="greaterThan">
      <formula>0</formula>
    </cfRule>
  </conditionalFormatting>
  <conditionalFormatting sqref="I10">
    <cfRule type="expression" dxfId="81" priority="890" stopIfTrue="1">
      <formula>$AC$49=1</formula>
    </cfRule>
  </conditionalFormatting>
  <conditionalFormatting sqref="I11">
    <cfRule type="expression" dxfId="80" priority="891" stopIfTrue="1">
      <formula>$AC$50=1</formula>
    </cfRule>
  </conditionalFormatting>
  <conditionalFormatting sqref="I12">
    <cfRule type="expression" dxfId="79" priority="892" stopIfTrue="1">
      <formula>$AC$51=1</formula>
    </cfRule>
  </conditionalFormatting>
  <conditionalFormatting sqref="I13">
    <cfRule type="expression" dxfId="78" priority="893" stopIfTrue="1">
      <formula>$AC$52=1</formula>
    </cfRule>
  </conditionalFormatting>
  <conditionalFormatting sqref="L16">
    <cfRule type="cellIs" dxfId="77" priority="221" stopIfTrue="1" operator="equal">
      <formula>0</formula>
    </cfRule>
  </conditionalFormatting>
  <conditionalFormatting sqref="I14">
    <cfRule type="expression" dxfId="76" priority="207" stopIfTrue="1">
      <formula>$AC$56&lt;5</formula>
    </cfRule>
    <cfRule type="expression" dxfId="75" priority="213" stopIfTrue="1">
      <formula>AD11=0</formula>
    </cfRule>
  </conditionalFormatting>
  <conditionalFormatting sqref="J14">
    <cfRule type="cellIs" priority="215" stopIfTrue="1" operator="greaterThan">
      <formula>0</formula>
    </cfRule>
  </conditionalFormatting>
  <conditionalFormatting sqref="I16">
    <cfRule type="cellIs" dxfId="74" priority="212" stopIfTrue="1" operator="equal">
      <formula>0</formula>
    </cfRule>
  </conditionalFormatting>
  <conditionalFormatting sqref="J16">
    <cfRule type="cellIs" dxfId="73" priority="211" stopIfTrue="1" operator="equal">
      <formula>0</formula>
    </cfRule>
  </conditionalFormatting>
  <conditionalFormatting sqref="K16">
    <cfRule type="cellIs" dxfId="72" priority="210" stopIfTrue="1" operator="equal">
      <formula>0</formula>
    </cfRule>
  </conditionalFormatting>
  <conditionalFormatting sqref="C25:D25">
    <cfRule type="expression" dxfId="71" priority="209" stopIfTrue="1">
      <formula>$C$25&lt;&gt;""</formula>
    </cfRule>
  </conditionalFormatting>
  <conditionalFormatting sqref="I20">
    <cfRule type="cellIs" dxfId="70" priority="130" stopIfTrue="1" operator="equal">
      <formula>0</formula>
    </cfRule>
  </conditionalFormatting>
  <conditionalFormatting sqref="K20">
    <cfRule type="cellIs" dxfId="69" priority="126" stopIfTrue="1" operator="equal">
      <formula>0</formula>
    </cfRule>
  </conditionalFormatting>
  <conditionalFormatting sqref="J41">
    <cfRule type="expression" dxfId="68" priority="79" stopIfTrue="1">
      <formula>$Z$61=1</formula>
    </cfRule>
  </conditionalFormatting>
  <conditionalFormatting sqref="J42">
    <cfRule type="expression" dxfId="67" priority="78" stopIfTrue="1">
      <formula>$Z$62=1</formula>
    </cfRule>
  </conditionalFormatting>
  <conditionalFormatting sqref="F35:F36">
    <cfRule type="expression" dxfId="66" priority="76" stopIfTrue="1">
      <formula>$AK$37+$AL$37+$AH$37+$AI$37=2</formula>
    </cfRule>
    <cfRule type="expression" dxfId="65" priority="77" stopIfTrue="1">
      <formula>$AK$37+$AL$37+$AH$37+$AI$37=1</formula>
    </cfRule>
  </conditionalFormatting>
  <conditionalFormatting sqref="J35:J36">
    <cfRule type="expression" dxfId="64" priority="70" stopIfTrue="1">
      <formula>$AH$45=2</formula>
    </cfRule>
    <cfRule type="expression" dxfId="63" priority="75" stopIfTrue="1">
      <formula>$AH$45=1</formula>
    </cfRule>
  </conditionalFormatting>
  <conditionalFormatting sqref="H35:H36">
    <cfRule type="expression" dxfId="62" priority="69" stopIfTrue="1">
      <formula>$AI$45=2</formula>
    </cfRule>
    <cfRule type="expression" dxfId="61" priority="74" stopIfTrue="1">
      <formula>$AI$45=1</formula>
    </cfRule>
  </conditionalFormatting>
  <conditionalFormatting sqref="G35:G36">
    <cfRule type="expression" dxfId="60" priority="71" stopIfTrue="1">
      <formula>$AG$45=2</formula>
    </cfRule>
    <cfRule type="expression" dxfId="59" priority="73" stopIfTrue="1">
      <formula>$AG$45=1</formula>
    </cfRule>
  </conditionalFormatting>
  <conditionalFormatting sqref="I35:I36">
    <cfRule type="expression" dxfId="58" priority="68" stopIfTrue="1">
      <formula>$AJ$45=2</formula>
    </cfRule>
    <cfRule type="expression" dxfId="57" priority="72" stopIfTrue="1">
      <formula>$AJ$45=1</formula>
    </cfRule>
  </conditionalFormatting>
  <conditionalFormatting sqref="K35">
    <cfRule type="cellIs" dxfId="56" priority="63" stopIfTrue="1" operator="equal">
      <formula>0</formula>
    </cfRule>
    <cfRule type="expression" dxfId="55" priority="65" stopIfTrue="1">
      <formula>$AK$45=2</formula>
    </cfRule>
    <cfRule type="expression" dxfId="54" priority="67" stopIfTrue="1">
      <formula>$AK$45=1</formula>
    </cfRule>
  </conditionalFormatting>
  <conditionalFormatting sqref="L35">
    <cfRule type="cellIs" dxfId="53" priority="62" stopIfTrue="1" operator="equal">
      <formula>0</formula>
    </cfRule>
    <cfRule type="expression" dxfId="52" priority="64" stopIfTrue="1">
      <formula>$AL$45=2</formula>
    </cfRule>
    <cfRule type="expression" dxfId="51" priority="66" stopIfTrue="1">
      <formula>$AL$45=1</formula>
    </cfRule>
  </conditionalFormatting>
  <conditionalFormatting sqref="K36">
    <cfRule type="containsText" dxfId="50" priority="58" stopIfTrue="1" operator="containsText" text="0 (MS)">
      <formula>NOT(ISERROR(SEARCH("0 (MS)",K36)))</formula>
    </cfRule>
    <cfRule type="expression" dxfId="49" priority="59" stopIfTrue="1">
      <formula>$AK$45=2</formula>
    </cfRule>
    <cfRule type="expression" dxfId="48" priority="61" stopIfTrue="1">
      <formula>$AK$45=1</formula>
    </cfRule>
  </conditionalFormatting>
  <conditionalFormatting sqref="L36">
    <cfRule type="containsText" dxfId="47" priority="56" stopIfTrue="1" operator="containsText" text="0 (MS)">
      <formula>NOT(ISERROR(SEARCH("0 (MS)",L36)))</formula>
    </cfRule>
    <cfRule type="expression" dxfId="46" priority="57" stopIfTrue="1">
      <formula>$AL$45=2</formula>
    </cfRule>
    <cfRule type="expression" dxfId="45" priority="60" stopIfTrue="1">
      <formula>$AL$45=1</formula>
    </cfRule>
  </conditionalFormatting>
  <conditionalFormatting sqref="K33">
    <cfRule type="expression" dxfId="44" priority="54" stopIfTrue="1">
      <formula>$AL$49=2</formula>
    </cfRule>
    <cfRule type="expression" dxfId="43" priority="55" stopIfTrue="1">
      <formula>$AL$49=1</formula>
    </cfRule>
  </conditionalFormatting>
  <conditionalFormatting sqref="J33">
    <cfRule type="expression" dxfId="42" priority="1" stopIfTrue="1">
      <formula>$AK$37+$AL$37+$AH$37+$AI$37=1</formula>
    </cfRule>
    <cfRule type="expression" dxfId="41" priority="2" stopIfTrue="1">
      <formula>$AK$37+$AL$37+$AH$37+$AI$37=2</formula>
    </cfRule>
  </conditionalFormatting>
  <conditionalFormatting sqref="J29">
    <cfRule type="expression" dxfId="40" priority="51" stopIfTrue="1">
      <formula>$Z$21=3</formula>
    </cfRule>
  </conditionalFormatting>
  <conditionalFormatting sqref="J30">
    <cfRule type="expression" dxfId="39" priority="50" stopIfTrue="1">
      <formula>$Z$21=3</formula>
    </cfRule>
  </conditionalFormatting>
  <conditionalFormatting sqref="F29:I29">
    <cfRule type="expression" dxfId="38" priority="49" stopIfTrue="1">
      <formula>$Z$21=3</formula>
    </cfRule>
  </conditionalFormatting>
  <conditionalFormatting sqref="J22:K22">
    <cfRule type="expression" dxfId="37" priority="46" stopIfTrue="1">
      <formula>$AC$64=1</formula>
    </cfRule>
  </conditionalFormatting>
  <conditionalFormatting sqref="L22">
    <cfRule type="expression" dxfId="36" priority="45" stopIfTrue="1">
      <formula>$AD$65=1</formula>
    </cfRule>
  </conditionalFormatting>
  <conditionalFormatting sqref="F32:L32">
    <cfRule type="expression" dxfId="35" priority="43" stopIfTrue="1">
      <formula>$AL$51=2</formula>
    </cfRule>
    <cfRule type="expression" dxfId="34" priority="44" stopIfTrue="1">
      <formula>$AL$51=1</formula>
    </cfRule>
  </conditionalFormatting>
  <conditionalFormatting sqref="C29">
    <cfRule type="expression" dxfId="33" priority="42" stopIfTrue="1">
      <formula>$AC$55=8</formula>
    </cfRule>
  </conditionalFormatting>
  <conditionalFormatting sqref="J31">
    <cfRule type="expression" dxfId="32" priority="40" stopIfTrue="1">
      <formula>$AC$67=1</formula>
    </cfRule>
  </conditionalFormatting>
  <conditionalFormatting sqref="J20">
    <cfRule type="cellIs" dxfId="31" priority="12" stopIfTrue="1" operator="equal">
      <formula>0</formula>
    </cfRule>
    <cfRule type="expression" dxfId="30" priority="37" stopIfTrue="1">
      <formula>$Z$3&lt;25.01</formula>
    </cfRule>
    <cfRule type="expression" dxfId="29" priority="39" stopIfTrue="1">
      <formula>$Z$3&lt;35</formula>
    </cfRule>
  </conditionalFormatting>
  <conditionalFormatting sqref="L20">
    <cfRule type="cellIs" dxfId="28" priority="11" stopIfTrue="1" operator="equal">
      <formula>0</formula>
    </cfRule>
    <cfRule type="expression" dxfId="27" priority="36" stopIfTrue="1">
      <formula>$Z$4&lt;25.01</formula>
    </cfRule>
    <cfRule type="expression" dxfId="26" priority="38" stopIfTrue="1">
      <formula>$Z$4&lt;35</formula>
    </cfRule>
  </conditionalFormatting>
  <conditionalFormatting sqref="L24">
    <cfRule type="expression" dxfId="25" priority="35" stopIfTrue="1">
      <formula>$L$23=""</formula>
    </cfRule>
  </conditionalFormatting>
  <conditionalFormatting sqref="L23">
    <cfRule type="expression" dxfId="24" priority="34" stopIfTrue="1">
      <formula>$Z$59=1</formula>
    </cfRule>
  </conditionalFormatting>
  <conditionalFormatting sqref="H23">
    <cfRule type="expression" dxfId="23" priority="33" stopIfTrue="1">
      <formula>$Z$59=1</formula>
    </cfRule>
  </conditionalFormatting>
  <conditionalFormatting sqref="D7">
    <cfRule type="cellIs" dxfId="22" priority="32" stopIfTrue="1" operator="between">
      <formula>0.0001</formula>
      <formula>1000</formula>
    </cfRule>
  </conditionalFormatting>
  <conditionalFormatting sqref="I15">
    <cfRule type="cellIs" dxfId="21" priority="31" stopIfTrue="1" operator="equal">
      <formula>0</formula>
    </cfRule>
  </conditionalFormatting>
  <conditionalFormatting sqref="K15">
    <cfRule type="cellIs" dxfId="20" priority="30" stopIfTrue="1" operator="equal">
      <formula>0</formula>
    </cfRule>
  </conditionalFormatting>
  <conditionalFormatting sqref="J43">
    <cfRule type="expression" dxfId="19" priority="29" stopIfTrue="1">
      <formula>$Z$63=1</formula>
    </cfRule>
  </conditionalFormatting>
  <conditionalFormatting sqref="F37">
    <cfRule type="expression" dxfId="18" priority="27" stopIfTrue="1">
      <formula>$AK$37+$AL$37+$AH$37+$AI$37=2</formula>
    </cfRule>
    <cfRule type="expression" dxfId="17" priority="28" stopIfTrue="1">
      <formula>$AK$37+$AL$37+$AH$37+$AI$37=1</formula>
    </cfRule>
  </conditionalFormatting>
  <conditionalFormatting sqref="J37">
    <cfRule type="expression" dxfId="16" priority="21" stopIfTrue="1">
      <formula>$AH$45=2</formula>
    </cfRule>
    <cfRule type="expression" dxfId="15" priority="26" stopIfTrue="1">
      <formula>$AH$45=1</formula>
    </cfRule>
  </conditionalFormatting>
  <conditionalFormatting sqref="H37">
    <cfRule type="expression" dxfId="14" priority="20" stopIfTrue="1">
      <formula>$AI$45=2</formula>
    </cfRule>
    <cfRule type="expression" dxfId="13" priority="25" stopIfTrue="1">
      <formula>$AI$45=1</formula>
    </cfRule>
  </conditionalFormatting>
  <conditionalFormatting sqref="G37">
    <cfRule type="expression" dxfId="12" priority="22" stopIfTrue="1">
      <formula>$AG$45=2</formula>
    </cfRule>
    <cfRule type="expression" dxfId="11" priority="24" stopIfTrue="1">
      <formula>$AG$45=1</formula>
    </cfRule>
  </conditionalFormatting>
  <conditionalFormatting sqref="I37">
    <cfRule type="expression" dxfId="10" priority="19" stopIfTrue="1">
      <formula>$AJ$45=2</formula>
    </cfRule>
    <cfRule type="expression" dxfId="9" priority="23" stopIfTrue="1">
      <formula>$AJ$45=1</formula>
    </cfRule>
  </conditionalFormatting>
  <conditionalFormatting sqref="K37">
    <cfRule type="containsText" dxfId="8" priority="15" stopIfTrue="1" operator="containsText" text="0 (MS)">
      <formula>NOT(ISERROR(SEARCH("0 (MS)",K37)))</formula>
    </cfRule>
    <cfRule type="expression" dxfId="7" priority="16" stopIfTrue="1">
      <formula>$AK$45=2</formula>
    </cfRule>
    <cfRule type="expression" dxfId="6" priority="18" stopIfTrue="1">
      <formula>$AK$45=1</formula>
    </cfRule>
  </conditionalFormatting>
  <conditionalFormatting sqref="L37">
    <cfRule type="containsText" dxfId="5" priority="13" stopIfTrue="1" operator="containsText" text="0 (MS)">
      <formula>NOT(ISERROR(SEARCH("0 (MS)",L37)))</formula>
    </cfRule>
    <cfRule type="expression" dxfId="4" priority="14" stopIfTrue="1">
      <formula>$AL$45=2</formula>
    </cfRule>
    <cfRule type="expression" dxfId="3" priority="17" stopIfTrue="1">
      <formula>$AL$45=1</formula>
    </cfRule>
  </conditionalFormatting>
  <conditionalFormatting sqref="C20:D20">
    <cfRule type="expression" dxfId="2" priority="8" stopIfTrue="1">
      <formula>$C$20&lt;&gt;""</formula>
    </cfRule>
  </conditionalFormatting>
  <conditionalFormatting sqref="C21:D21">
    <cfRule type="expression" dxfId="1" priority="4" stopIfTrue="1">
      <formula>$AJ$16=1</formula>
    </cfRule>
    <cfRule type="expression" dxfId="0" priority="7" stopIfTrue="1">
      <formula>$C$21&lt;&gt;""</formula>
    </cfRule>
  </conditionalFormatting>
  <dataValidations xWindow="912" yWindow="395" count="17">
    <dataValidation allowBlank="1" showErrorMessage="1" sqref="J28:J31 AL48 F34:L37 F20:F21 I16:K16 F28:F33 J18:J19 L28:L30 L9:L16 K14:K15 I14:I15 I17 J9:J15 L24 L18:L19 H33:L33 AF46:AL46 G26:L26 I20:L20 F23:F26 F12:F17" xr:uid="{896916D6-E9F8-4A92-917A-CF67285DEC1F}"/>
    <dataValidation type="list" allowBlank="1" showErrorMessage="1" errorTitle="Erreur de saisie" error="Veuillez choisir dans la liste déroulante" promptTitle="Le facteur racial" sqref="C19:D19" xr:uid="{171D03D0-AD9B-4925-9A35-99225F4945B9}">
      <formula1>$AO$4:$AO$204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3:D23" xr:uid="{FBCD3DE3-5672-480D-9FF0-A6CD584FAEE4}">
      <formula1>$AR$41:$AR$45</formula1>
    </dataValidation>
    <dataValidation type="list" allowBlank="1" showErrorMessage="1" errorTitle="Erreur de saisie" error="Veuillez choisir dans la liste déroulante" promptTitle="Le facteur comportemental" prompt="Très calme (facteur 0,8)_x000a_Calme (facteur 0,9)_x000a_Normal (facteur 1)_x000a_Actif/sportif (facteur 1,1)_x000a_Hyperactif/grand sportif (facteur 1,2)" sqref="C21:D21" xr:uid="{D45075E1-036F-49E5-8C75-7B5B15ED08B6}">
      <formula1>$AR$4:$AR$9</formula1>
    </dataValidation>
    <dataValidation type="list" allowBlank="1" showErrorMessage="1" errorTitle="Erreur de saisie" error="Veuillez choisir dans la liste déroulante" promptTitle="Le facteur physiologique" prompt="Adulte (facteur 1)_x000a_Stérilisé  (facteur 0,75)_x000a_Croissance (facteur 2 à 1,2)_x000a_Gestation (facteur 1 à 1,5)_x000a_Lactation (facteur 2,5 à 1,8)_x000a_Senior 2/3 de l'espérance de vie (facteur 0,85)" sqref="C20:D20" xr:uid="{64C8AE5A-0B59-474D-BA37-8B0172EC5F94}">
      <formula1>$AU$4:$AU$25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2:D22" xr:uid="{65B560EB-787F-42A0-80CB-F98626D9619E}">
      <formula1>$AU$41:$AU$43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4:D24" xr:uid="{7A6CE589-AFA2-43A5-9E43-C8721A9C9E98}">
      <formula1>$AR$28:$AR$32</formula1>
    </dataValidation>
    <dataValidation type="decimal" allowBlank="1" showErrorMessage="1" errorTitle="Erreur de saisie" error="Veuillez entrer un chiffre supérieur à 0" promptTitle="Le poids de votre chien" sqref="D7" xr:uid="{3851D2DC-DC37-49CD-8143-439A4A370822}">
      <formula1>0</formula1>
      <formula2>150</formula2>
    </dataValidation>
    <dataValidation type="decimal" allowBlank="1" showErrorMessage="1" errorTitle="Erreur de saisie" error="Veuillez entrer un chiffre compris entre 0 et 100" promptTitle="Le poids de votre chien" sqref="K9:K13 I9:I13" xr:uid="{98F50B1C-9E30-40AD-A752-B1A355113D18}">
      <formula1>0.01</formula1>
      <formula2>100</formula2>
    </dataValidation>
    <dataValidation type="whole" allowBlank="1" showErrorMessage="1" errorTitle="Erreur de saisie" error="Veuillez entrer un chiffre (pourcentage) compris entre 0 et 100" promptTitle="Le poids de votre chien" sqref="L23" xr:uid="{7D60AF7C-25BE-4A66-B5F0-DF23E2E68C51}">
      <formula1>0</formula1>
      <formula2>100</formula2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5:D25" xr:uid="{8600044B-5510-45FC-B9B7-6B9C2AB441C5}">
      <formula1>$AR$19:$AR$21</formula1>
    </dataValidation>
    <dataValidation type="decimal" allowBlank="1" showErrorMessage="1" errorTitle="Erreur de saisie" error="Veuillez entrer un chiffre supérieur à 0" promptTitle="Le poids de votre chien" sqref="J41:J43" xr:uid="{400B7F93-FADA-482F-9731-114AD3912314}">
      <formula1>0.0001</formula1>
      <formula2>100</formula2>
    </dataValidation>
    <dataValidation type="list" allowBlank="1" showErrorMessage="1" error="Merci de choisir une viande dans la liste" sqref="J22:K22" xr:uid="{8D1472B9-8445-40CB-A4DD-0D65798F9CE9}">
      <formula1>$BD$4:$BD$45</formula1>
    </dataValidation>
    <dataValidation type="whole" allowBlank="1" showErrorMessage="1" error="Veuillez entrer un chiffre (en grammes) supérieur à 0" sqref="L22" xr:uid="{D5AB070D-68D6-4927-BEA2-CB81FC1E2819}">
      <formula1>0</formula1>
      <formula2>5000</formula2>
    </dataValidation>
    <dataValidation type="decimal" allowBlank="1" showErrorMessage="1" errorTitle="Erreur de saisie" error="Veuillez entrer un chiffre compris entre 0 et 150" promptTitle="Le poids de votre chien" sqref="C15" xr:uid="{0CC195B6-0336-475D-9D22-260912BA3B47}">
      <formula1>0.0000001</formula1>
      <formula2>150</formula2>
    </dataValidation>
    <dataValidation type="decimal" allowBlank="1" showErrorMessage="1" errorTitle="Erreur de saisie" error="Veuillez entrer un chiffre compris entre 0 et 5" promptTitle="Le poids de votre chien" sqref="K18:K19 I18:I19" xr:uid="{68A8D890-A541-456A-B73B-22DEA3C01560}">
      <formula1>0.01</formula1>
      <formula2>5</formula2>
    </dataValidation>
    <dataValidation type="list" showErrorMessage="1" errorTitle="Erreur de saisie" error="Veuillez spécifier un type de répartition" sqref="H23" xr:uid="{A3BEED29-0C79-4F4D-BD78-E56B205833A1}">
      <formula1>$X$10:$X$11</formula1>
    </dataValidation>
  </dataValidations>
  <hyperlinks>
    <hyperlink ref="B44" r:id="rId1" xr:uid="{F3F96593-48AA-449B-B4A4-21320F827139}"/>
    <hyperlink ref="B44:D44" r:id="rId2" display="http://www.fediaf.org   https://www.facco.fr" xr:uid="{67F6269F-8447-450D-A06F-3B99A19F8E04}"/>
    <hyperlink ref="B43" r:id="rId3" xr:uid="{B2D8DC9B-A5F8-4CF6-9AD8-8D5C6463A896}"/>
    <hyperlink ref="B41" r:id="rId4" display="https://www.facebook.com/ToutSavoirSurAlimentationChienChat/" xr:uid="{FB6F705E-4D0B-47C9-9411-7F59E83ED38C}"/>
    <hyperlink ref="B41:D41" r:id="rId5" display="https://www.unegamelleautop.fr/" xr:uid="{20454D47-B9AB-4A40-A83E-EC3C280D76DF}"/>
    <hyperlink ref="T9" r:id="rId6" xr:uid="{AC59AEFA-E84C-4F76-869C-77AD8F9347CF}"/>
    <hyperlink ref="K50" r:id="rId7" xr:uid="{08CF94C3-87A3-4C93-ABFE-BDBFD2F116A9}"/>
  </hyperlinks>
  <pageMargins left="0.7" right="0.7" top="0.75" bottom="0.75" header="0.3" footer="0.3"/>
  <pageSetup paperSize="9" orientation="portrait" r:id="rId8"/>
  <ignoredErrors>
    <ignoredError sqref="N1:W1 M9:O12 M13 M15:O15 M21 M8:O8 A323:R399 M7 M16 M14:O14 M23:M41 A38:A76 E38:E42 M17 A197:R322 P147:R153 P80:R81 P61:R63 P31 P33:P34 AC1:AE1 Q31:R31 P30:R30 P32:R32 Q34:R34 Q33:R33 P52:R52 P51:R51 P26:R26 P29:R29 P27:R27 P28:R28 P8:Q12 P46:R50 P45:Q45 P36:R36 P37:R37 P38:R38 P39:R39 P35:R35 P53:R55 P57:R58 P69:R69 P64:R64 P70:R70 P65:R68 P40:R44 P73:R75 P71:R72 P79:R79 P83:R83 P78:R78 P77:R77 P82:R82 P84:R84 P76:R76 P56:R56 P85:R87 P14:Q17 P60:R60 P59:R59 P117:R117 P90:R116 R20 P21:R25 AH1:BM1 P118:R146 N3:Q6 P89:R89 P88:R88 O7:Q7 Y1:AB1 M42:O76 O13:Q13 A179:R195 A83:O177 P154:R177 A77:A82 M77:O82 E13:H13 E12:H12 E11:H11 E10:H10 G16:H16 E7 G20:H20 E18:H18 E17:L17 E27:E37 A27:A37 K14 A7 E9:H9 I8:L8 A8:F8 E16 G26:K26 L15 J15 A26:E26 A16:A18 L18:L19 L9:L12 J18:J19 A13 J9:J12 A12 A11 A10 A9 A14:I14 E24:E25 A22:B25 E22 A20:A21 F19:H19 A19:B19 D15:E15 A15:B15 A1:L1 B17:D17 F15:I15 B27:D37 B21 F22:I22 E23:L23 F24:L25 J14 B13:D13 B9:D9 B10:D10 B11:D11 B12:D12 B18:D18 F26 K15 L26 B16:D16 F16 G8:H8 B7:D7 L14 F27:L37 B20 I20:L20 F7:L7 I16:L16 J13 E20:F20 E21:L21 A3:L6 A2 C2:L2 N2:R2 BC130:BH177 BC204:BH214 BC202:BH202 AN26 AN27:AN32 BC203:BH203 AA78:AH79 Z78:Z79 Z83 AH84 AB81:AH81 Z85:AH87 Z82:AG82 Z80:Z81 AH82:AH83 AA80:AH80 AA81 Z84:AG84 AA83:AG83 AI78:AM79 Y83 AB88 Y80 Y81 Y82 Y84 Y85:Y87 Y89:AH89 Y88:AA88 AC88:AH88 AI89:AM89 AI85:AM87 AI80:AM80 Z69 AF65:AG65 Z67 Z68 Z65 Z66 AA72:AH72 Y72 AH65:AL65 Y68 Y67 Y66 AA65:AE65 Y65 Y71:AF71 Y69 AA68:AF69 Y70:AF70 AA66:AL66 Z72 Y73:AH75 AI72:AL75 AA67:AF67 AG67:AL67 AI71:AL71 AG70:AL70 AG68:AL69 AG71:AH71 AM71 AM70 AM68:AM69 AR5:AT5 AG46 AL51 AG49 AH51:AJ51 AG38:AG44 AG51 AG52:AL52 AG50:AL50 AG48 AG47 AK51 AG45 AH45:AL45 AH46:AI46 AH47:AJ47 AH48:AK48 AJ49:AL49 AH49:AI49 AL48 AK47:AL47 AJ46:AL46 AH38:AL44 AM52 AJ37:AL37 AH37 AH35 AM35:AM49 AH36:AL36 AI35:AL35 AI37 AY25:AZ25 AY24:AZ24 AZ27 AZ14 AZ15 AZ20:AZ21 AW22:AZ23 AZ17 AZ16 AW18:AZ19 AZ11 AZ10 AW12:AZ13 AR16:AT16 AR12:AT12 AR11:AT11 AR10:AT10 AR9:AT9 AR6:AT6 AZ8 AW9:AZ9 AZ7 AZ6 AY26:AZ26 AF34:AN34 AD34 AG37 AB33 AB32 AB35 AR33:BN34 AR15:AU15 AR19:AU19 AR22:AT22 AR14:AU14 AR20:AT21 AR4:AU4 AR13:AT13 AR17:AT17 AR8:AT8 AR7:AT7 AN61 AN60 AN59 AN58 AN57 AN62:AN83 AG35 AC42:AE42 AC41:AE41 AC40:AE40 AC47:AE47 AC46:AE46 AD45:AE45 AC44:AE44 AD43:AE43 S154:AM177 AR46:BH129 BC179:BH195 S179:AM195 BC197:BH201 AG32 AG31 AD33:AN33 AH32:AL32 AH31:AL31 AI59:AJ59 AF45 AG36 AK15:AO15 W19:AO19 W18:AO18 W5:W17 S19:U19 S18:T18 S3:U4 AA59:AG59 AW4:AZ5 AI88:AM88 S88:X88 S89:X89 AI84:AN84 AJ5:AK6 AJ9:AJ10 AG5:AI5 AA8:AO8 AH6:AI6 AC7:AE7 AC4 AC3 AC5:AE5 AC2:AE2 AD3:AE3 AD4:AE4 AI7:AO7 AC6:AG6 AF2:AJ4 AK2:AM2 AL3:AM6 S45:Z45 AA22:AO22 AK92:AL92 X92:AF92 AA14:AO14 AH28:AL28 AH29:AL29 AM120:AM146 S118:W146 Y90:AL90 BD35:BN45 BC3:BN27 BI46:BN153 BD2:BN2 AN35:AN56 AN23:AO25 AL9:AN10 AN2:BC2 AN3:BA3 AR18:AT18 AN20:AO21 AR28:BN32 AN4:AO6 AO9:AO13 AR24:AU26 AR23:AT23 AR27:AU27 AR35:BC35 AR36:BC45 AL16:AO17 AN85:AN129 AJ11:AN12 AH13:AN13 S21:X25 S20:AM20 AG25:AM26 AM90:AM116 S90:W116 S117:AM117 AK61:AM61 AK59:AM59 S59:Y59 S60:AM60 AM64:AM67 AM28:AM32 AF47 AC56:AM56 Y42:AA42 Y48:AB48 AI81:AM81 AA34:AB34 AA36:AF37 AC35 AC32 AC33 AC34 S85:X87 AA56:AB56 S56:Z56 S76:AM76 S84:X84 S82:X82 S77:Z77 S78:Y78 S83:X83 S79:Y79 AC48:AF48 AC50:AF50 AD32:AF32 AI82:AM83 AA77:AM77 AA15:AF15 AM72:AM75 S71:X72 S73:X75 AA17:AJ17 AA16:AB16 AA52:AB52 AG15:AI16 AA63:AM63 S40:W44 S65:W68 S70:X70 AB5:AB7 AA2:AB4 AM50:AM51 S64:X64 S69:X69 AD62:AM62 AD61:AJ61 S57:AM58 S53:AM55 S35:X35 S39:AE39 S38:AF38 S37:Z37 S36:Z36 S46:W50 AC26:AE26 S28:AF28 S27:AM27 AD29:AF29 S29:X29 S26:AA26 AA21:AM21 AD25:AF25 AD24:AM24 Y23:AM23 AA41 AA40 AA50:AB50 AA49:AB49 AA47 AA46 AA45 AA44 AA43 AC49:AF49 S51:AB51 AF52 S52:Z52 AA13:AE13 S33:Z33 S34:Z34 AD16:AF16 AD35:AF35 S32:Z32 S30:AE30 S31:AE31 Y2:Z2 W3:Y4 AF39:AF44 Y9:AI12 Y25:AC25 Y24:AC24 AF31 AF30:AL30 Z35 AC51:AE52 X46:X48 AF51 AF46 X40:X42 Y21 AB26 Y29:AC29 Y8:Z8 Y64:Z64 S61:Y63 AA61:AC62 X65 AA64:AE64 X67 AF64:AL64 S80:X81 X94:X116 X49:Z50 Y46:Z47 X43:Z44 Y40:Z41 X91:AL91 S147:AM153 X118:AM119 AN215:BH322 S197:AM322 S323:BH399 S2:W2 S5:V7 X2 S400:BO484 BI323:BO399 AN202:BB202 BI215:BO322 X146:AA146 AO118:AQ119 S178:BO178 AN147:BB153 X93:AA93 AO91:AQ91 AB41 AB44 AB47 AO56:AQ56 AO117:AQ117 Y94:AA116 X66 AO64:AQ64 X68 Z63 Z61:Z62 AO62:AQ62 S14:V14 S8:V8 AP8:AQ8 AA33 AG29 AG28 AF26 Y22:Z22 Z21 AB42 AB46 Y35 AA35 AO30:AQ30 AP24:AQ24 AP25:AQ25 S9:V12 AK9:AK10 V3:V4 Z3:Z4 AA32 V19 S16:V16 AJ16:AK16 S13:V13 AF13:AG13 AB43:AC43 AB45:AC45 AB40 AP23:AQ23 AP21:AQ21 AO27:AQ27 AO53:AQ55 Z59 AO58:AQ58 AO61:AQ61 AO50:AQ50 AO51:AQ51 AF7:AH7 AO63:AQ63 S15:V15 AJ15 AC16 S17:V17 AK17 AO76:AQ76 AO72:AQ72 AO73:AQ75 AO77:AQ77 AO82:AQ83 AE34 AO33:AQ33 AO81:AQ81 AO29:AQ29 AO28:AQ28 AO31:AQ31 AO32:AQ32 AO66:AQ66 AO67:AQ67 AO65:AQ65 AO60:AQ60 AO59:AQ59 X90 AO92:AQ93 AO94:AQ116 AO90:AQ90 AO26:AQ26 AP20:AQ20 AP13:AQ13 AP12:AQ12 X120:AL122 AO120:AQ129 AO88:AQ89 AO85:AQ87 AP16:AQ16 AP17:AQ17 BO38 BO40:BO41 BO43:BO44 BO42 BO39 BO45 BO36 BO37 BO35 AV27:AY27 AU23:AV23 AV24:AX24 AV25:AX25 AV26:AX26 AP10:AQ10 AP4:AQ4 AF5 AP6:AQ6 BO30 BO29 BO28 BO31 BO32 U18:V18 AU18:AV18 BB3 AO46:AQ46 AO52:AQ52 AO38:AQ38 AO40:AQ41 AO43:AQ44 AO42:AQ42 AO39:AQ39 AO35:AQ35 AO49:AQ49 AO45:AQ45 AO36:AQ36 AO37:AQ37 AO48:AQ48 AO47:AQ47 BO130:BO146 BO118:BO119 BO147:BO153 BO91 BO56 BO117 BO80 BO64 BO68 BO62 BO53:BO55 BO57:BO58 BO61 BO71 BO69 BO50 BO51 BO70 BO63 BO76 BO72 BO73:BO75 BO78 BO77 BO82:BO83 BO79 BO84 BO81 BO66 BO67 BO65 BO60 BO59 BO92:BO93 BO94:BO116 BO90 BO120:BO129 BO88:BO89 BO85:BO87 BO46 BO52 BO49 BO48 BO47 BO14 BO22 BO19 BO21 BO15 BO20 BO13 BO11:BO12 BO16 BO17 BO27 BO23 BO24 BO25 BO26 BO18 AN130:BB146 AP14:AQ14 AG92:AJ92 AP22:AQ22 AK3 AK4 AP7:AQ7 AO84:AQ84 BA4:BB4 AP5:AQ5 BA5:BB5 AH59 X5:AA7 X14:Z14 X8 X9:X12 X16:Z16 X13:Z13 X15:Z15 X17:Z17 AP18:AQ18 AP19:AQ19 AP15:AQ15 AN197:BB201 BI197:BO201 S196:BO196 AN179:BB195 BI179:BO195 AN154:BB177 AO80:AQ80 AO68:AQ68 AO71:AQ71 AO69:AQ69 AO70:AQ70 AO78:AQ78 AO79:AQ79 AO57:AQ57 AU7:AY7 AU8:AY8 AU17:AY17 AU13:AV13 AV4 AU21:AY21 AU20:AY20 AV14:AY14 AU22:AV22 AV19 AV15:AY15 BO34 BO33 AO34:AQ34 BA26:BB26 BA6:BB6 BA7:BB7 AP9:AQ9 BA9:BB9 BA8:BB8 AU6:AY6 AU9:AV9 AU10:AY10 AP11:AQ11 AU11:AY11 AU12:AV12 AU16:AY16 BA13:BB13 BA12:BB12 BA10:BB10 BA11:BB11 BA18:BB18 BA19:BB19 BA16:BB16 BA17:BB17 BA23:BB23 BA22:BB22 BA21:BB21 BA20:BB20 BA15:BB15 BA14:BB14 BA27:BB27 BA24:BB24 BA25:BB25 AU5:AV5 AN204:BB214 AN203:BB203 BI203:BO203 BI202:BO202 BI204:BO214 BI154:BO177 L13 AC93:AL93 AC94:AL116 X124:AA129 X123:AA123 AC123:AL123 X130:AA145 AC130:AL145 AC124:AL129 AC146:AL146" evalError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CHIEN - Unegamelleautop.fr</vt:lpstr>
    </vt:vector>
  </TitlesOfParts>
  <LinksUpToDate>false</LinksUpToDate>
  <SharedDoc>false</SharedDoc>
  <HyperlinkBase>https://www.facebook.com/groups/CroquettesCommentChoisir/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Damien Dehon</cp:lastModifiedBy>
  <cp:lastPrinted>2016-12-27T10:50:24Z</cp:lastPrinted>
  <dcterms:created xsi:type="dcterms:W3CDTF">2016-08-18T09:44:54Z</dcterms:created>
  <dcterms:modified xsi:type="dcterms:W3CDTF">2025-01-02T15:52:02Z</dcterms:modified>
</cp:coreProperties>
</file>