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mc:AlternateContent xmlns:mc="http://schemas.openxmlformats.org/markup-compatibility/2006">
    <mc:Choice Requires="x15">
      <x15ac:absPath xmlns:x15ac="http://schemas.microsoft.com/office/spreadsheetml/2010/11/ac" url="G:\Mon Drive\Une gamelle au top\Calculateurs\__ LIVRAISON __\_ TMP _\"/>
    </mc:Choice>
  </mc:AlternateContent>
  <xr:revisionPtr revIDLastSave="0" documentId="8_{9A60B050-C622-42B7-BCB5-661CBC277B1B}" xr6:coauthVersionLast="47" xr6:coauthVersionMax="47" xr10:uidLastSave="{00000000-0000-0000-0000-000000000000}"/>
  <bookViews>
    <workbookView xWindow="-118" yWindow="-118" windowWidth="25370" windowHeight="13667" xr2:uid="{70E7DAFE-B22A-4852-84CD-4FD3C8C68E21}"/>
  </bookViews>
  <sheets>
    <sheet name="RM CHAT - Unegamelleautop.fr" sheetId="3" r:id="rId1"/>
    <sheet name="CTRL" sheetId="10" state="hidden" r:id="rId2"/>
    <sheet name="CMV" sheetId="11" state="hidden" r:id="rId3"/>
    <sheet name="LGS" sheetId="5" state="hidden" r:id="rId4"/>
    <sheet name="HLS" sheetId="4" state="hidden" r:id="rId5"/>
    <sheet name="FCS" sheetId="6" state="hidden" r:id="rId6"/>
    <sheet name="VDS" sheetId="7" state="hidden" r:id="rId7"/>
    <sheet name="OPT1" sheetId="8" state="hidden" r:id="rId8"/>
    <sheet name="OPT2"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26" i="3" l="1"/>
  <c r="T11" i="4"/>
  <c r="T20" i="5"/>
  <c r="T19" i="5"/>
  <c r="T51" i="7"/>
  <c r="T47" i="7"/>
  <c r="T46" i="7"/>
  <c r="AS68" i="3"/>
  <c r="BM20" i="3"/>
  <c r="BJ37" i="3"/>
  <c r="AJ11" i="3"/>
  <c r="AA44" i="3" s="1"/>
  <c r="E23" i="3"/>
  <c r="AN57" i="3"/>
  <c r="AO57" i="3"/>
  <c r="AN49" i="3"/>
  <c r="AN81" i="3"/>
  <c r="AE70" i="3"/>
  <c r="AN53" i="3"/>
  <c r="AN52" i="3"/>
  <c r="AN51" i="3"/>
  <c r="AN50" i="3"/>
  <c r="AN48" i="3"/>
  <c r="AQ56" i="3"/>
  <c r="AQ55" i="3"/>
  <c r="AQ53" i="3"/>
  <c r="AQ52" i="3"/>
  <c r="BJ38" i="3"/>
  <c r="AQ50" i="3"/>
  <c r="AQ49" i="3"/>
  <c r="BJ39" i="3"/>
  <c r="AQ48" i="3"/>
  <c r="AQ47" i="3"/>
  <c r="Y36" i="3"/>
  <c r="AM10" i="3"/>
  <c r="Y35" i="3"/>
  <c r="AM11" i="3"/>
  <c r="Y34" i="3"/>
  <c r="AT75" i="3"/>
  <c r="AO75" i="3"/>
  <c r="AN75" i="3"/>
  <c r="E21" i="3"/>
  <c r="BJ31" i="3" s="1"/>
  <c r="BJ35" i="3" s="1"/>
  <c r="BJ30" i="3" s="1"/>
  <c r="DK101" i="3"/>
  <c r="DK100" i="3"/>
  <c r="DK99" i="3"/>
  <c r="DK98" i="3"/>
  <c r="DK97" i="3"/>
  <c r="DK96" i="3"/>
  <c r="DK95" i="3"/>
  <c r="DK94" i="3"/>
  <c r="DK93" i="3"/>
  <c r="DK92" i="3"/>
  <c r="DK91" i="3"/>
  <c r="DK90" i="3"/>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AG12" i="3"/>
  <c r="AG11" i="3"/>
  <c r="Z59" i="3"/>
  <c r="Z61" i="3"/>
  <c r="AB48" i="3"/>
  <c r="X102" i="3"/>
  <c r="X103" i="3" s="1"/>
  <c r="K9" i="3"/>
  <c r="BP47" i="3"/>
  <c r="BP46" i="3"/>
  <c r="BP49" i="3"/>
  <c r="BP48" i="3"/>
  <c r="X105" i="3"/>
  <c r="X101" i="3"/>
  <c r="X106" i="3"/>
  <c r="DK89" i="3"/>
  <c r="DK88" i="3"/>
  <c r="DK87" i="3"/>
  <c r="T32" i="7"/>
  <c r="T33" i="7"/>
  <c r="AR81" i="3"/>
  <c r="AR80" i="3"/>
  <c r="AR79" i="3"/>
  <c r="AR78" i="3"/>
  <c r="AR77" i="3"/>
  <c r="AR82" i="3"/>
  <c r="L48" i="3"/>
  <c r="BP45" i="3"/>
  <c r="BP43" i="3"/>
  <c r="BP44" i="3"/>
  <c r="T22" i="7"/>
  <c r="T23" i="7"/>
  <c r="DN101" i="3"/>
  <c r="DM101" i="3"/>
  <c r="DN100" i="3"/>
  <c r="DM100" i="3"/>
  <c r="DN99" i="3"/>
  <c r="DM99" i="3"/>
  <c r="DN98" i="3"/>
  <c r="DM98" i="3"/>
  <c r="DN97" i="3"/>
  <c r="DM97" i="3"/>
  <c r="DN96" i="3"/>
  <c r="DM96" i="3"/>
  <c r="DN95" i="3"/>
  <c r="DM95" i="3"/>
  <c r="DN94" i="3"/>
  <c r="DM94" i="3"/>
  <c r="DN93" i="3"/>
  <c r="DM93" i="3"/>
  <c r="DN92" i="3"/>
  <c r="DM92" i="3"/>
  <c r="DN91" i="3"/>
  <c r="DM91" i="3"/>
  <c r="DN90" i="3"/>
  <c r="DM90" i="3"/>
  <c r="DN89" i="3"/>
  <c r="DM89" i="3"/>
  <c r="DN88" i="3"/>
  <c r="DM88" i="3"/>
  <c r="DN87" i="3"/>
  <c r="DM87" i="3"/>
  <c r="DN86" i="3"/>
  <c r="DM86" i="3"/>
  <c r="DN85" i="3"/>
  <c r="DM85" i="3"/>
  <c r="DN84" i="3"/>
  <c r="DM84" i="3"/>
  <c r="DN83" i="3"/>
  <c r="DM83" i="3"/>
  <c r="DN82" i="3"/>
  <c r="DM82" i="3"/>
  <c r="DN81" i="3"/>
  <c r="DM81" i="3"/>
  <c r="DN80" i="3"/>
  <c r="DM80" i="3"/>
  <c r="DN79" i="3"/>
  <c r="DM79" i="3"/>
  <c r="DN78" i="3"/>
  <c r="DM78" i="3"/>
  <c r="DN77" i="3"/>
  <c r="DM77" i="3"/>
  <c r="DN76" i="3"/>
  <c r="DM76" i="3"/>
  <c r="DN75" i="3"/>
  <c r="DM75" i="3"/>
  <c r="DN74" i="3"/>
  <c r="DM74" i="3"/>
  <c r="DN73" i="3"/>
  <c r="DM73" i="3"/>
  <c r="DN72" i="3"/>
  <c r="DM72" i="3"/>
  <c r="DN71" i="3"/>
  <c r="DM71" i="3"/>
  <c r="DN70" i="3"/>
  <c r="DM70" i="3"/>
  <c r="DN69" i="3"/>
  <c r="DM69" i="3"/>
  <c r="DN68" i="3"/>
  <c r="DM68" i="3"/>
  <c r="DN67" i="3"/>
  <c r="DM67" i="3"/>
  <c r="DN66" i="3"/>
  <c r="DM66" i="3"/>
  <c r="DN65" i="3"/>
  <c r="DM65" i="3"/>
  <c r="DN64" i="3"/>
  <c r="DM64" i="3"/>
  <c r="DN63" i="3"/>
  <c r="DM63" i="3"/>
  <c r="DN62" i="3"/>
  <c r="DM62" i="3"/>
  <c r="DN61" i="3"/>
  <c r="DM61" i="3"/>
  <c r="DN60" i="3"/>
  <c r="DM60" i="3"/>
  <c r="DN59" i="3"/>
  <c r="DM59" i="3"/>
  <c r="DN58" i="3"/>
  <c r="DM58" i="3"/>
  <c r="DN57" i="3"/>
  <c r="DM57" i="3"/>
  <c r="DN56" i="3"/>
  <c r="DM56" i="3"/>
  <c r="DN55" i="3"/>
  <c r="DM55" i="3"/>
  <c r="DN54" i="3"/>
  <c r="DM54" i="3"/>
  <c r="DN53" i="3"/>
  <c r="DM53" i="3"/>
  <c r="DN52" i="3"/>
  <c r="DM52" i="3"/>
  <c r="DN51" i="3"/>
  <c r="DM51" i="3"/>
  <c r="DN50" i="3"/>
  <c r="DM50" i="3"/>
  <c r="DN49" i="3"/>
  <c r="DM49" i="3"/>
  <c r="DN48" i="3"/>
  <c r="DM48" i="3"/>
  <c r="DN47" i="3"/>
  <c r="DM47" i="3"/>
  <c r="DN46" i="3"/>
  <c r="DM46" i="3"/>
  <c r="DN45" i="3"/>
  <c r="DM45" i="3"/>
  <c r="DN44" i="3"/>
  <c r="DM44" i="3"/>
  <c r="DN43" i="3"/>
  <c r="DM43" i="3"/>
  <c r="DN42" i="3"/>
  <c r="DM42" i="3"/>
  <c r="DN41" i="3"/>
  <c r="DM41" i="3"/>
  <c r="DN40" i="3"/>
  <c r="DM40" i="3"/>
  <c r="DN39" i="3"/>
  <c r="DM39" i="3"/>
  <c r="DN38" i="3"/>
  <c r="DM38" i="3"/>
  <c r="DN37" i="3"/>
  <c r="DM37" i="3"/>
  <c r="DN36" i="3"/>
  <c r="DM36" i="3"/>
  <c r="DN35" i="3"/>
  <c r="DM35" i="3"/>
  <c r="DN34" i="3"/>
  <c r="DM34" i="3"/>
  <c r="DN33" i="3"/>
  <c r="DM33" i="3"/>
  <c r="DN32" i="3"/>
  <c r="DM32" i="3"/>
  <c r="DN31" i="3"/>
  <c r="DM31" i="3"/>
  <c r="DN30" i="3"/>
  <c r="DM30" i="3"/>
  <c r="DN29" i="3"/>
  <c r="DM29" i="3"/>
  <c r="DN28" i="3"/>
  <c r="DM28" i="3"/>
  <c r="DN27" i="3"/>
  <c r="DM27" i="3"/>
  <c r="DN26" i="3"/>
  <c r="DM26" i="3"/>
  <c r="DN25" i="3"/>
  <c r="DM25" i="3"/>
  <c r="DN24" i="3"/>
  <c r="DM24" i="3"/>
  <c r="DN23" i="3"/>
  <c r="DM23" i="3"/>
  <c r="DN22" i="3"/>
  <c r="DM22" i="3"/>
  <c r="DN21" i="3"/>
  <c r="DM21" i="3"/>
  <c r="DN20" i="3"/>
  <c r="DM20" i="3"/>
  <c r="DN19" i="3"/>
  <c r="DM19" i="3"/>
  <c r="DN18" i="3"/>
  <c r="DM18" i="3"/>
  <c r="DN17" i="3"/>
  <c r="DM17" i="3"/>
  <c r="DN16" i="3"/>
  <c r="DM16" i="3"/>
  <c r="DN15" i="3"/>
  <c r="DM15" i="3"/>
  <c r="DN14" i="3"/>
  <c r="DM14" i="3"/>
  <c r="DN13" i="3"/>
  <c r="DM13" i="3"/>
  <c r="DN12" i="3"/>
  <c r="DM12" i="3"/>
  <c r="DN11" i="3"/>
  <c r="DM11" i="3"/>
  <c r="DN10" i="3"/>
  <c r="DM10" i="3"/>
  <c r="DN9" i="3"/>
  <c r="DM9" i="3"/>
  <c r="DN8" i="3"/>
  <c r="DM8" i="3"/>
  <c r="DN7" i="3"/>
  <c r="DM7" i="3"/>
  <c r="DN6" i="3"/>
  <c r="DM6" i="3"/>
  <c r="DN5" i="3"/>
  <c r="DM5" i="3"/>
  <c r="DN4" i="3"/>
  <c r="DM4" i="3"/>
  <c r="DN3" i="3"/>
  <c r="DM3" i="3"/>
  <c r="W61" i="3"/>
  <c r="AL32" i="3" s="1"/>
  <c r="AD32" i="3"/>
  <c r="DJ101" i="3"/>
  <c r="DI101" i="3"/>
  <c r="DH101" i="3"/>
  <c r="DJ100" i="3"/>
  <c r="DI100" i="3"/>
  <c r="DH100" i="3"/>
  <c r="DJ99" i="3"/>
  <c r="DI99" i="3"/>
  <c r="DH99" i="3"/>
  <c r="DJ98" i="3"/>
  <c r="DI98" i="3"/>
  <c r="DH98" i="3"/>
  <c r="DJ97" i="3"/>
  <c r="DI97" i="3"/>
  <c r="DH97" i="3"/>
  <c r="DJ96" i="3"/>
  <c r="DI96" i="3"/>
  <c r="DH96" i="3"/>
  <c r="DJ95" i="3"/>
  <c r="DI95" i="3"/>
  <c r="DH95" i="3"/>
  <c r="DJ94" i="3"/>
  <c r="DI94" i="3"/>
  <c r="DH94" i="3"/>
  <c r="DJ93" i="3"/>
  <c r="DI93" i="3"/>
  <c r="DH93" i="3"/>
  <c r="DJ92" i="3"/>
  <c r="DI92" i="3"/>
  <c r="DH92" i="3"/>
  <c r="DJ91" i="3"/>
  <c r="DI91" i="3"/>
  <c r="DH91" i="3"/>
  <c r="DJ90" i="3"/>
  <c r="DI90" i="3"/>
  <c r="DH90" i="3"/>
  <c r="DJ89" i="3"/>
  <c r="DI89" i="3"/>
  <c r="DH89" i="3"/>
  <c r="DJ88" i="3"/>
  <c r="DI88" i="3"/>
  <c r="DH88" i="3"/>
  <c r="DJ87" i="3"/>
  <c r="DI87" i="3"/>
  <c r="DH87" i="3"/>
  <c r="DK86" i="3"/>
  <c r="DJ86" i="3"/>
  <c r="DI86" i="3"/>
  <c r="DH86" i="3"/>
  <c r="DK85" i="3"/>
  <c r="DJ85" i="3"/>
  <c r="DI85" i="3"/>
  <c r="DH85" i="3"/>
  <c r="DK84" i="3"/>
  <c r="DJ84" i="3"/>
  <c r="DI84" i="3"/>
  <c r="DH84" i="3"/>
  <c r="DK83" i="3"/>
  <c r="DJ83" i="3"/>
  <c r="DI83" i="3"/>
  <c r="DH83" i="3"/>
  <c r="DK82" i="3"/>
  <c r="DJ82" i="3"/>
  <c r="DI82" i="3"/>
  <c r="DH82" i="3"/>
  <c r="DK81" i="3"/>
  <c r="DJ81" i="3"/>
  <c r="DI81" i="3"/>
  <c r="DH81" i="3"/>
  <c r="DK80" i="3"/>
  <c r="DJ80" i="3"/>
  <c r="DI80" i="3"/>
  <c r="DH80" i="3"/>
  <c r="DK79" i="3"/>
  <c r="DJ79" i="3"/>
  <c r="DI79" i="3"/>
  <c r="DH79" i="3"/>
  <c r="DK78" i="3"/>
  <c r="DJ78" i="3"/>
  <c r="DI78" i="3"/>
  <c r="DH78" i="3"/>
  <c r="DK77" i="3"/>
  <c r="DJ77" i="3"/>
  <c r="DI77" i="3"/>
  <c r="DH77" i="3"/>
  <c r="DK76" i="3"/>
  <c r="DJ76" i="3"/>
  <c r="DI76" i="3"/>
  <c r="DH76" i="3"/>
  <c r="DK75" i="3"/>
  <c r="DJ75" i="3"/>
  <c r="DI75" i="3"/>
  <c r="DH75" i="3"/>
  <c r="DK74" i="3"/>
  <c r="DJ74" i="3"/>
  <c r="DI74" i="3"/>
  <c r="DH74" i="3"/>
  <c r="DK73" i="3"/>
  <c r="DJ73" i="3"/>
  <c r="DI73" i="3"/>
  <c r="DH73" i="3"/>
  <c r="DK72" i="3"/>
  <c r="DJ72" i="3"/>
  <c r="DI72" i="3"/>
  <c r="DH72" i="3"/>
  <c r="DK71" i="3"/>
  <c r="DJ71" i="3"/>
  <c r="DI71" i="3"/>
  <c r="DH71" i="3"/>
  <c r="DK70" i="3"/>
  <c r="DJ70" i="3"/>
  <c r="DI70" i="3"/>
  <c r="DH70" i="3"/>
  <c r="DK69" i="3"/>
  <c r="DJ69" i="3"/>
  <c r="DI69" i="3"/>
  <c r="DH69" i="3"/>
  <c r="DK68" i="3"/>
  <c r="DJ68" i="3"/>
  <c r="DI68" i="3"/>
  <c r="DH68" i="3"/>
  <c r="DK67" i="3"/>
  <c r="DJ67" i="3"/>
  <c r="DI67" i="3"/>
  <c r="DH67" i="3"/>
  <c r="DK66" i="3"/>
  <c r="DJ66" i="3"/>
  <c r="DI66" i="3"/>
  <c r="DH66" i="3"/>
  <c r="DK65" i="3"/>
  <c r="DJ65" i="3"/>
  <c r="DI65" i="3"/>
  <c r="DH65" i="3"/>
  <c r="DK64" i="3"/>
  <c r="DJ64" i="3"/>
  <c r="DI64" i="3"/>
  <c r="DH64" i="3"/>
  <c r="DK63" i="3"/>
  <c r="DJ63" i="3"/>
  <c r="DI63" i="3"/>
  <c r="DH63" i="3"/>
  <c r="DK62" i="3"/>
  <c r="DJ62" i="3"/>
  <c r="DI62" i="3"/>
  <c r="DH62" i="3"/>
  <c r="DK61" i="3"/>
  <c r="DJ61" i="3"/>
  <c r="DI61" i="3"/>
  <c r="DH61" i="3"/>
  <c r="DK60" i="3"/>
  <c r="DJ60" i="3"/>
  <c r="DI60" i="3"/>
  <c r="DH60" i="3"/>
  <c r="DK59" i="3"/>
  <c r="DJ59" i="3"/>
  <c r="DI59" i="3"/>
  <c r="DH59" i="3"/>
  <c r="DK58" i="3"/>
  <c r="DJ58" i="3"/>
  <c r="DI58" i="3"/>
  <c r="DH58" i="3"/>
  <c r="DK57" i="3"/>
  <c r="DJ57" i="3"/>
  <c r="DI57" i="3"/>
  <c r="DH57" i="3"/>
  <c r="DK56" i="3"/>
  <c r="DJ56" i="3"/>
  <c r="DI56" i="3"/>
  <c r="DH56" i="3"/>
  <c r="DK55" i="3"/>
  <c r="DJ55" i="3"/>
  <c r="DI55" i="3"/>
  <c r="DH55" i="3"/>
  <c r="DK54" i="3"/>
  <c r="DJ54" i="3"/>
  <c r="DI54" i="3"/>
  <c r="DH54" i="3"/>
  <c r="DK53" i="3"/>
  <c r="DJ53" i="3"/>
  <c r="DI53" i="3"/>
  <c r="DH53" i="3"/>
  <c r="DK52" i="3"/>
  <c r="DJ52" i="3"/>
  <c r="DI52" i="3"/>
  <c r="DH52" i="3"/>
  <c r="DK51" i="3"/>
  <c r="DJ51" i="3"/>
  <c r="DI51" i="3"/>
  <c r="DH51" i="3"/>
  <c r="DK50" i="3"/>
  <c r="DJ50" i="3"/>
  <c r="DI50" i="3"/>
  <c r="DH50" i="3"/>
  <c r="DK49" i="3"/>
  <c r="DJ49" i="3"/>
  <c r="DI49" i="3"/>
  <c r="DH49" i="3"/>
  <c r="DK48" i="3"/>
  <c r="DJ48" i="3"/>
  <c r="DI48" i="3"/>
  <c r="DH48" i="3"/>
  <c r="DK47" i="3"/>
  <c r="DJ47" i="3"/>
  <c r="DI47" i="3"/>
  <c r="DH47" i="3"/>
  <c r="DK46" i="3"/>
  <c r="DJ46" i="3"/>
  <c r="DI46" i="3"/>
  <c r="DH46" i="3"/>
  <c r="DK45" i="3"/>
  <c r="DJ45" i="3"/>
  <c r="DI45" i="3"/>
  <c r="DH45" i="3"/>
  <c r="DK44" i="3"/>
  <c r="DJ44" i="3"/>
  <c r="DI44" i="3"/>
  <c r="DH44" i="3"/>
  <c r="DK43" i="3"/>
  <c r="DJ43" i="3"/>
  <c r="DI43" i="3"/>
  <c r="DH43" i="3"/>
  <c r="DK42" i="3"/>
  <c r="DJ42" i="3"/>
  <c r="DI42" i="3"/>
  <c r="DH42" i="3"/>
  <c r="DK41" i="3"/>
  <c r="DJ41" i="3"/>
  <c r="DI41" i="3"/>
  <c r="DH41" i="3"/>
  <c r="DK40" i="3"/>
  <c r="DJ40" i="3"/>
  <c r="DI40" i="3"/>
  <c r="DH40" i="3"/>
  <c r="DK39" i="3"/>
  <c r="DJ39" i="3"/>
  <c r="DI39" i="3"/>
  <c r="DH39" i="3"/>
  <c r="DK38" i="3"/>
  <c r="DJ38" i="3"/>
  <c r="DI38" i="3"/>
  <c r="DH38" i="3"/>
  <c r="DK37" i="3"/>
  <c r="DJ37" i="3"/>
  <c r="DI37" i="3"/>
  <c r="DH37" i="3"/>
  <c r="DK36" i="3"/>
  <c r="DJ36" i="3"/>
  <c r="DI36" i="3"/>
  <c r="DH36" i="3"/>
  <c r="DK35" i="3"/>
  <c r="DJ35" i="3"/>
  <c r="DI35" i="3"/>
  <c r="DH35" i="3"/>
  <c r="DK34" i="3"/>
  <c r="DJ34" i="3"/>
  <c r="DI34" i="3"/>
  <c r="DH34" i="3"/>
  <c r="DK33" i="3"/>
  <c r="DJ33" i="3"/>
  <c r="DI33" i="3"/>
  <c r="DH33" i="3"/>
  <c r="DK32" i="3"/>
  <c r="DJ32" i="3"/>
  <c r="DI32" i="3"/>
  <c r="DH32" i="3"/>
  <c r="DK31" i="3"/>
  <c r="DJ31" i="3"/>
  <c r="DI31" i="3"/>
  <c r="DH31" i="3"/>
  <c r="DK30" i="3"/>
  <c r="DJ30" i="3"/>
  <c r="DI30" i="3"/>
  <c r="DH30" i="3"/>
  <c r="DK29" i="3"/>
  <c r="DJ29" i="3"/>
  <c r="DI29" i="3"/>
  <c r="DH29" i="3"/>
  <c r="DK28" i="3"/>
  <c r="DJ28" i="3"/>
  <c r="DI28" i="3"/>
  <c r="DH28" i="3"/>
  <c r="DK27" i="3"/>
  <c r="DJ27" i="3"/>
  <c r="DI27" i="3"/>
  <c r="DH27" i="3"/>
  <c r="DK26" i="3"/>
  <c r="DJ26" i="3"/>
  <c r="DI26" i="3"/>
  <c r="DH26" i="3"/>
  <c r="DK25" i="3"/>
  <c r="DJ25" i="3"/>
  <c r="DI25" i="3"/>
  <c r="DH25" i="3"/>
  <c r="DK24" i="3"/>
  <c r="DJ24" i="3"/>
  <c r="DI24" i="3"/>
  <c r="DH24" i="3"/>
  <c r="DK23" i="3"/>
  <c r="DJ23" i="3"/>
  <c r="DI23" i="3"/>
  <c r="DH23" i="3"/>
  <c r="DK22" i="3"/>
  <c r="DJ22" i="3"/>
  <c r="DI22" i="3"/>
  <c r="DH22" i="3"/>
  <c r="DK21" i="3"/>
  <c r="DJ21" i="3"/>
  <c r="DI21" i="3"/>
  <c r="DH21" i="3"/>
  <c r="DK20" i="3"/>
  <c r="DJ20" i="3"/>
  <c r="DI20" i="3"/>
  <c r="DH20" i="3"/>
  <c r="DK19" i="3"/>
  <c r="DJ19" i="3"/>
  <c r="DI19" i="3"/>
  <c r="DH19" i="3"/>
  <c r="DK18" i="3"/>
  <c r="DJ18" i="3"/>
  <c r="DI18" i="3"/>
  <c r="DH18" i="3"/>
  <c r="DK17" i="3"/>
  <c r="DJ17" i="3"/>
  <c r="DI17" i="3"/>
  <c r="DH17" i="3"/>
  <c r="DK16" i="3"/>
  <c r="DJ16" i="3"/>
  <c r="DI16" i="3"/>
  <c r="DH16" i="3"/>
  <c r="DK15" i="3"/>
  <c r="DJ15" i="3"/>
  <c r="DI15" i="3"/>
  <c r="DH15" i="3"/>
  <c r="DK14" i="3"/>
  <c r="DJ14" i="3"/>
  <c r="DI14" i="3"/>
  <c r="DH14" i="3"/>
  <c r="DK13" i="3"/>
  <c r="DJ13" i="3"/>
  <c r="DI13" i="3"/>
  <c r="DH13" i="3"/>
  <c r="DK12" i="3"/>
  <c r="DJ12" i="3"/>
  <c r="DI12" i="3"/>
  <c r="DH12" i="3"/>
  <c r="DK11" i="3"/>
  <c r="DJ11" i="3"/>
  <c r="DI11" i="3"/>
  <c r="DH11" i="3"/>
  <c r="DK10" i="3"/>
  <c r="DJ10" i="3"/>
  <c r="DI10" i="3"/>
  <c r="DH10" i="3"/>
  <c r="DK9" i="3"/>
  <c r="DJ9" i="3"/>
  <c r="DI9" i="3"/>
  <c r="DH9" i="3"/>
  <c r="DK8" i="3"/>
  <c r="DJ8" i="3"/>
  <c r="DI8" i="3"/>
  <c r="DH8" i="3"/>
  <c r="DK7" i="3"/>
  <c r="DJ7" i="3"/>
  <c r="DI7" i="3"/>
  <c r="DH7" i="3"/>
  <c r="DK6" i="3"/>
  <c r="DJ6" i="3"/>
  <c r="DI6" i="3"/>
  <c r="DH6" i="3"/>
  <c r="DK5" i="3"/>
  <c r="DJ5" i="3"/>
  <c r="DI5" i="3"/>
  <c r="DH5" i="3"/>
  <c r="DK4" i="3"/>
  <c r="DJ4" i="3"/>
  <c r="DI4" i="3"/>
  <c r="DH4" i="3"/>
  <c r="DK3" i="3"/>
  <c r="DJ3" i="3"/>
  <c r="DI3" i="3"/>
  <c r="DH3" i="3"/>
  <c r="BP42" i="3"/>
  <c r="BV27" i="3"/>
  <c r="G8" i="3"/>
  <c r="T11" i="5"/>
  <c r="T4" i="5"/>
  <c r="BL32" i="3"/>
  <c r="BS23" i="3"/>
  <c r="BR23" i="3"/>
  <c r="AS34" i="3"/>
  <c r="BH23" i="3"/>
  <c r="BG23" i="3"/>
  <c r="BE23" i="3"/>
  <c r="AK34" i="3"/>
  <c r="BD23" i="3"/>
  <c r="AJ34" i="3"/>
  <c r="BC23" i="3"/>
  <c r="AI34" i="3"/>
  <c r="AT127" i="3" s="1"/>
  <c r="AT97" i="3"/>
  <c r="BB23" i="3"/>
  <c r="AH34" i="3"/>
  <c r="AT96" i="3" s="1"/>
  <c r="AT126" i="3"/>
  <c r="BA23" i="3"/>
  <c r="AG34" i="3"/>
  <c r="AT88" i="3" s="1"/>
  <c r="AT89" i="3" s="1"/>
  <c r="AT124" i="3"/>
  <c r="AZ23" i="3"/>
  <c r="AF34" i="3"/>
  <c r="AT95" i="3" s="1"/>
  <c r="AY23" i="3"/>
  <c r="AE34" i="3"/>
  <c r="AT125" i="3" s="1"/>
  <c r="AX23" i="3"/>
  <c r="AW23" i="3"/>
  <c r="AD34" i="3"/>
  <c r="AZ27" i="3"/>
  <c r="BH24" i="3"/>
  <c r="BG24" i="3"/>
  <c r="BS12" i="3"/>
  <c r="BS13" i="3"/>
  <c r="BH17" i="3"/>
  <c r="BI17" i="3"/>
  <c r="BJ17" i="3"/>
  <c r="BO13" i="3"/>
  <c r="BS16" i="3"/>
  <c r="AA47" i="3"/>
  <c r="X45" i="3" s="1"/>
  <c r="BT12" i="3"/>
  <c r="AZ12" i="3"/>
  <c r="BN12" i="3" s="1"/>
  <c r="AZ13" i="3"/>
  <c r="BN13" i="3"/>
  <c r="X3" i="3"/>
  <c r="BP12" i="3"/>
  <c r="AA49" i="3"/>
  <c r="K11" i="3"/>
  <c r="Y3" i="3"/>
  <c r="AA50" i="3"/>
  <c r="K12" i="3"/>
  <c r="Z3" i="3"/>
  <c r="AA51" i="3"/>
  <c r="M13" i="3"/>
  <c r="AI73" i="3" s="1"/>
  <c r="AI74" i="3" s="1"/>
  <c r="BB12" i="3"/>
  <c r="BB13" i="3"/>
  <c r="BA12" i="3"/>
  <c r="BA13" i="3"/>
  <c r="BC12" i="3"/>
  <c r="BC13" i="3"/>
  <c r="BD12" i="3"/>
  <c r="BD13" i="3"/>
  <c r="AA39" i="3"/>
  <c r="AG27" i="3"/>
  <c r="BQ80" i="3"/>
  <c r="BC68" i="3"/>
  <c r="AY68" i="3"/>
  <c r="C22" i="10"/>
  <c r="T2" i="4"/>
  <c r="T10" i="4"/>
  <c r="T9" i="4"/>
  <c r="T8" i="4"/>
  <c r="T7" i="4"/>
  <c r="T6" i="4"/>
  <c r="T5" i="4"/>
  <c r="T4" i="4"/>
  <c r="T3" i="4"/>
  <c r="AQ83" i="3"/>
  <c r="C20" i="10"/>
  <c r="AQ81" i="3"/>
  <c r="AK16" i="3"/>
  <c r="AJ16" i="3"/>
  <c r="K8" i="3"/>
  <c r="T12" i="6"/>
  <c r="T11" i="6"/>
  <c r="T10" i="6"/>
  <c r="T9" i="6"/>
  <c r="T6" i="6"/>
  <c r="T5" i="6"/>
  <c r="T4" i="6"/>
  <c r="BM13" i="3"/>
  <c r="BL13" i="3"/>
  <c r="BK13" i="3"/>
  <c r="BJ13" i="3"/>
  <c r="BI13" i="3"/>
  <c r="BH13" i="3"/>
  <c r="BG13" i="3"/>
  <c r="BF13" i="3"/>
  <c r="BE13" i="3"/>
  <c r="BM12" i="3"/>
  <c r="BL12" i="3"/>
  <c r="BK12" i="3"/>
  <c r="BJ12" i="3"/>
  <c r="BI12" i="3"/>
  <c r="BH12" i="3"/>
  <c r="BG12" i="3"/>
  <c r="BF12" i="3"/>
  <c r="BE12" i="3"/>
  <c r="BQ13" i="3"/>
  <c r="BQ12" i="3"/>
  <c r="BT13" i="3"/>
  <c r="BR13" i="3"/>
  <c r="BR12" i="3"/>
  <c r="BQ19" i="3"/>
  <c r="BQ18" i="3"/>
  <c r="BQ20" i="3"/>
  <c r="AD35" i="3"/>
  <c r="AY13" i="3"/>
  <c r="AY12" i="3"/>
  <c r="W57" i="3"/>
  <c r="AL33" i="3" s="1"/>
  <c r="AE33" i="3"/>
  <c r="AE17" i="3"/>
  <c r="AO66" i="3"/>
  <c r="E19" i="3"/>
  <c r="Z33" i="3" s="1"/>
  <c r="E22" i="3"/>
  <c r="E24" i="3"/>
  <c r="E25" i="3"/>
  <c r="AM36" i="3"/>
  <c r="AM37" i="3"/>
  <c r="AM38" i="3"/>
  <c r="AL36" i="3"/>
  <c r="AL37" i="3"/>
  <c r="AL38" i="3"/>
  <c r="C18" i="10"/>
  <c r="AE50" i="3"/>
  <c r="AF36" i="3"/>
  <c r="AF38" i="3"/>
  <c r="AS38" i="3" s="1"/>
  <c r="AF37" i="3"/>
  <c r="AQ123" i="3" s="1"/>
  <c r="AG36" i="3"/>
  <c r="AS36" i="3" s="1"/>
  <c r="AN88" i="3"/>
  <c r="AG38" i="3"/>
  <c r="AO88" i="3"/>
  <c r="AG37" i="3"/>
  <c r="AQ124" i="3" s="1"/>
  <c r="AE36" i="3"/>
  <c r="AH36" i="3"/>
  <c r="AI36" i="3"/>
  <c r="AE38" i="3"/>
  <c r="AE37" i="3"/>
  <c r="AQ125" i="3"/>
  <c r="AH38" i="3"/>
  <c r="AH37" i="3"/>
  <c r="AQ126" i="3" s="1"/>
  <c r="AI38" i="3"/>
  <c r="AI37" i="3"/>
  <c r="AQ127" i="3"/>
  <c r="AE81" i="3"/>
  <c r="AI50" i="3"/>
  <c r="AO135" i="3"/>
  <c r="AH95" i="3"/>
  <c r="C8" i="10"/>
  <c r="C12" i="10"/>
  <c r="Z63" i="3"/>
  <c r="AA58" i="3"/>
  <c r="C6" i="10"/>
  <c r="AH81" i="3"/>
  <c r="AA40" i="3"/>
  <c r="AA41" i="3"/>
  <c r="AA43" i="3"/>
  <c r="AA45" i="3"/>
  <c r="AA46" i="3"/>
  <c r="C4" i="10"/>
  <c r="AH70" i="3"/>
  <c r="AA48" i="3"/>
  <c r="C10" i="10"/>
  <c r="AO104" i="3"/>
  <c r="C16" i="10"/>
  <c r="AK38" i="3"/>
  <c r="AK37" i="3"/>
  <c r="AK36" i="3"/>
  <c r="AJ38" i="3"/>
  <c r="AJ37" i="3"/>
  <c r="AJ36" i="3"/>
  <c r="BC5" i="3"/>
  <c r="C14" i="10"/>
  <c r="AN36" i="3"/>
  <c r="AN37" i="3"/>
  <c r="AN38" i="3"/>
  <c r="AY8" i="3"/>
  <c r="AY9" i="3"/>
  <c r="AY10" i="3"/>
  <c r="AY11" i="3"/>
  <c r="AX8" i="3"/>
  <c r="AX9" i="3"/>
  <c r="AX10" i="3"/>
  <c r="AX11" i="3"/>
  <c r="AO36" i="3"/>
  <c r="AO37" i="3"/>
  <c r="AO38" i="3"/>
  <c r="T3" i="5"/>
  <c r="AQ36" i="3"/>
  <c r="AQ37" i="3"/>
  <c r="AQ38" i="3"/>
  <c r="AR36" i="3"/>
  <c r="AR37" i="3"/>
  <c r="AR38" i="3"/>
  <c r="T3" i="6"/>
  <c r="T2" i="6"/>
  <c r="AW11" i="3"/>
  <c r="AW10" i="3"/>
  <c r="AW9" i="3"/>
  <c r="AW8" i="3"/>
  <c r="AW7" i="3"/>
  <c r="AI21" i="3"/>
  <c r="AS65" i="3"/>
  <c r="BP62" i="3"/>
  <c r="BP61" i="3"/>
  <c r="AP37" i="3"/>
  <c r="AP36" i="3"/>
  <c r="AP38" i="3"/>
  <c r="BP60" i="3"/>
  <c r="K7" i="3"/>
  <c r="X27" i="3"/>
  <c r="G10" i="3"/>
  <c r="AD30" i="3"/>
  <c r="X28" i="3"/>
  <c r="AD36" i="3"/>
  <c r="AD38" i="3"/>
  <c r="AD37" i="3"/>
  <c r="AF43" i="3"/>
  <c r="AF41" i="3"/>
  <c r="Z4" i="3"/>
  <c r="Z28" i="3"/>
  <c r="AH28" i="3"/>
  <c r="AA28" i="3"/>
  <c r="AG28" i="3"/>
  <c r="AE28" i="3"/>
  <c r="AF28" i="3"/>
  <c r="AX5" i="3"/>
  <c r="BQ78" i="3"/>
  <c r="BV78" i="3" s="1"/>
  <c r="BP13" i="3"/>
  <c r="BC4" i="3"/>
  <c r="AJ55" i="3" s="1"/>
  <c r="M12" i="3"/>
  <c r="AN83" i="3"/>
  <c r="AY5" i="3"/>
  <c r="W63" i="3"/>
  <c r="AT79" i="3" s="1"/>
  <c r="AQ116" i="3" s="1"/>
  <c r="W72" i="3"/>
  <c r="Z72" i="3"/>
  <c r="K13" i="3"/>
  <c r="AT94" i="3"/>
  <c r="AD33" i="3"/>
  <c r="AG33" i="3"/>
  <c r="G14" i="3"/>
  <c r="AS37" i="3"/>
  <c r="AN76" i="3"/>
  <c r="AE74" i="3"/>
  <c r="BJ68" i="3"/>
  <c r="BH68" i="3"/>
  <c r="BI68" i="3"/>
  <c r="BJ33" i="3"/>
  <c r="BJ32" i="3"/>
  <c r="BJ34" i="3"/>
  <c r="E20" i="3"/>
  <c r="AA54" i="3" l="1"/>
  <c r="AO76" i="3"/>
  <c r="AN77" i="3"/>
  <c r="AA42" i="3"/>
  <c r="AQ88" i="3"/>
  <c r="AI87" i="3"/>
  <c r="AF32" i="3"/>
  <c r="AN32" i="3"/>
  <c r="AE32" i="3"/>
  <c r="W71" i="3"/>
  <c r="AH33" i="3"/>
  <c r="AR33" i="3"/>
  <c r="AR94" i="3"/>
  <c r="AS88" i="3"/>
  <c r="AF33" i="3"/>
  <c r="AS33" i="3"/>
  <c r="AH32" i="3"/>
  <c r="AR95" i="3"/>
  <c r="AW5" i="3"/>
  <c r="AI33" i="3"/>
  <c r="AJ32" i="3"/>
  <c r="AR32" i="3"/>
  <c r="AX6" i="3"/>
  <c r="AS32" i="3"/>
  <c r="W59" i="3"/>
  <c r="AO32" i="3"/>
  <c r="AO33" i="3"/>
  <c r="W64" i="3"/>
  <c r="AR87" i="3" s="1"/>
  <c r="AK33" i="3"/>
  <c r="AG32" i="3"/>
  <c r="AJ33" i="3"/>
  <c r="Y73" i="3"/>
  <c r="AQ33" i="3"/>
  <c r="W58" i="3"/>
  <c r="AS87" i="3" s="1"/>
  <c r="AQ32" i="3"/>
  <c r="AP33" i="3"/>
  <c r="AI32" i="3"/>
  <c r="AP32" i="3"/>
  <c r="W62" i="3"/>
  <c r="AM32" i="3"/>
  <c r="AY6" i="3"/>
  <c r="AM33" i="3"/>
  <c r="AN33" i="3"/>
  <c r="AW6" i="3"/>
  <c r="AK32" i="3"/>
  <c r="AT123" i="3"/>
  <c r="Z35" i="3"/>
  <c r="AN46" i="3" s="1"/>
  <c r="Z34" i="3"/>
  <c r="AT76" i="3" s="1"/>
  <c r="Z36" i="3"/>
  <c r="AQ46" i="3" s="1"/>
  <c r="Y32" i="3"/>
  <c r="AQ79" i="3"/>
  <c r="AQ80" i="3" s="1"/>
  <c r="AP83" i="3"/>
  <c r="BT16" i="3"/>
  <c r="BQ16" i="3"/>
  <c r="BD17" i="3"/>
  <c r="BO12" i="3"/>
  <c r="BR16" i="3"/>
  <c r="Z5" i="3" l="1"/>
  <c r="Z6" i="3"/>
  <c r="C27" i="3"/>
  <c r="Z101" i="3"/>
  <c r="Z71" i="3"/>
  <c r="Z70" i="3"/>
  <c r="Y33" i="3"/>
  <c r="AT78" i="3"/>
  <c r="AP116" i="3" s="1"/>
  <c r="AR97" i="3"/>
  <c r="AP115" i="3"/>
  <c r="AS122" i="3" s="1"/>
  <c r="AS89" i="3"/>
  <c r="AS127" i="3"/>
  <c r="AS97" i="3"/>
  <c r="AR96" i="3"/>
  <c r="AR88" i="3"/>
  <c r="AS95" i="3"/>
  <c r="AS123" i="3"/>
  <c r="AS96" i="3"/>
  <c r="AS94" i="3"/>
  <c r="AR89" i="3"/>
  <c r="AQ115" i="3"/>
  <c r="AR122" i="3" s="1"/>
  <c r="AS76" i="3"/>
  <c r="BM22" i="3"/>
  <c r="Z31" i="3"/>
  <c r="Z32" i="3" s="1"/>
  <c r="AZ14" i="3"/>
  <c r="AE35" i="3" s="1"/>
  <c r="BE14" i="3"/>
  <c r="AJ35" i="3" s="1"/>
  <c r="BF14" i="3"/>
  <c r="AK35" i="3" s="1"/>
  <c r="BH14" i="3"/>
  <c r="AM35" i="3" s="1"/>
  <c r="BA14" i="3"/>
  <c r="AF35" i="3" s="1"/>
  <c r="BT15" i="3"/>
  <c r="BT14" i="3" s="1"/>
  <c r="AL27" i="3" s="1"/>
  <c r="BJ14" i="3"/>
  <c r="AO35" i="3" s="1"/>
  <c r="BK14" i="3"/>
  <c r="AP35" i="3" s="1"/>
  <c r="BB14" i="3"/>
  <c r="AG35" i="3" s="1"/>
  <c r="BD14" i="3"/>
  <c r="AI35" i="3" s="1"/>
  <c r="BO14" i="3"/>
  <c r="BG14" i="3"/>
  <c r="AL35" i="3" s="1"/>
  <c r="BN14" i="3"/>
  <c r="AS35" i="3" s="1"/>
  <c r="BP14" i="3"/>
  <c r="M11" i="3" s="1"/>
  <c r="BI14" i="3"/>
  <c r="AN35" i="3" s="1"/>
  <c r="BS15" i="3"/>
  <c r="BS14" i="3" s="1"/>
  <c r="AL26" i="3" s="1"/>
  <c r="BQ15" i="3"/>
  <c r="BQ14" i="3" s="1"/>
  <c r="AL24" i="3" s="1"/>
  <c r="BM14" i="3"/>
  <c r="AR35" i="3" s="1"/>
  <c r="BC14" i="3"/>
  <c r="AH35" i="3" s="1"/>
  <c r="BL14" i="3"/>
  <c r="AQ35" i="3" s="1"/>
  <c r="BR15" i="3"/>
  <c r="BR14" i="3" s="1"/>
  <c r="AL25" i="3" s="1"/>
  <c r="AM14" i="3" l="1"/>
  <c r="AM17" i="3"/>
  <c r="AR125" i="3"/>
  <c r="AR123" i="3"/>
  <c r="AR124" i="3"/>
  <c r="AR126" i="3"/>
  <c r="AS124" i="3"/>
  <c r="AS126" i="3"/>
  <c r="AS125" i="3"/>
  <c r="AR127" i="3"/>
  <c r="AG5" i="3"/>
  <c r="AH5" i="3"/>
  <c r="Y14" i="3"/>
  <c r="Z14" i="3" s="1"/>
  <c r="AH6" i="3"/>
  <c r="C28" i="3"/>
  <c r="AF7" i="3"/>
  <c r="AS75" i="3"/>
  <c r="AX68" i="3"/>
  <c r="AZ68" i="3" s="1"/>
  <c r="BK68" i="3" s="1"/>
  <c r="W25" i="3" s="1"/>
  <c r="AF6" i="3"/>
  <c r="Y15" i="3"/>
  <c r="Z15" i="3"/>
  <c r="AF5" i="3"/>
  <c r="BI20" i="3"/>
  <c r="BF23" i="3" s="1"/>
  <c r="AG6" i="3"/>
  <c r="AI98" i="3"/>
  <c r="AA3" i="3"/>
  <c r="AA52" i="3" s="1"/>
  <c r="AB55" i="3" s="1"/>
  <c r="AO65" i="3"/>
  <c r="AO67" i="3" s="1"/>
  <c r="AO68" i="3" s="1"/>
  <c r="AP88" i="3"/>
  <c r="AP79" i="3"/>
  <c r="Z13" i="3" l="1"/>
  <c r="AA13" i="3" s="1"/>
  <c r="X25" i="3"/>
  <c r="AT81" i="3"/>
  <c r="AN118" i="3"/>
  <c r="AN78" i="3"/>
  <c r="AO83" i="3" s="1"/>
  <c r="AP80" i="3"/>
  <c r="AP87" i="3"/>
  <c r="AO77" i="3"/>
  <c r="Z7" i="3"/>
  <c r="AO69" i="3"/>
  <c r="BC6" i="3"/>
  <c r="M14" i="3"/>
  <c r="K14" i="3"/>
  <c r="BJ69" i="3" l="1"/>
  <c r="BK69" i="3" s="1"/>
  <c r="AO84" i="3" s="1"/>
  <c r="AN79" i="3" s="1"/>
  <c r="BH69" i="3"/>
  <c r="BI69" i="3"/>
  <c r="AO78" i="3"/>
  <c r="Z8" i="3"/>
  <c r="AS69" i="3"/>
  <c r="AT69" i="3" s="1"/>
  <c r="AJ53" i="3"/>
  <c r="AO70" i="3"/>
  <c r="AQ69" i="3"/>
  <c r="AF17" i="3"/>
  <c r="AG17" i="3" s="1"/>
  <c r="AH17" i="3" s="1"/>
  <c r="AI84" i="3"/>
  <c r="AA7" i="3"/>
  <c r="AA8" i="3"/>
  <c r="AP89" i="3"/>
  <c r="AP94" i="3"/>
  <c r="AP97" i="3"/>
  <c r="AP95" i="3"/>
  <c r="AP96" i="3"/>
  <c r="AN87" i="3" l="1"/>
  <c r="AN115" i="3"/>
  <c r="AN122" i="3" s="1"/>
  <c r="AN80" i="3"/>
  <c r="AN116" i="3" s="1"/>
  <c r="AE83" i="3"/>
  <c r="AE52" i="3"/>
  <c r="AQ70" i="3"/>
  <c r="AN123" i="3" l="1"/>
  <c r="AN124" i="3"/>
  <c r="AN127" i="3"/>
  <c r="AN125" i="3"/>
  <c r="AF27" i="3"/>
  <c r="W24" i="3" s="1"/>
  <c r="AN126" i="3"/>
  <c r="AN95" i="3"/>
  <c r="AN97" i="3"/>
  <c r="AN94" i="3"/>
  <c r="AN89" i="3"/>
  <c r="AF26" i="3"/>
  <c r="AN96" i="3"/>
  <c r="AT70" i="3"/>
  <c r="AO79" i="3"/>
  <c r="AS70" i="3"/>
  <c r="Z12" i="3" l="1"/>
  <c r="AA12" i="3" s="1"/>
  <c r="X24" i="3"/>
  <c r="AO87" i="3"/>
  <c r="AO115" i="3"/>
  <c r="AO122" i="3" s="1"/>
  <c r="AO80" i="3"/>
  <c r="AO95" i="3" l="1"/>
  <c r="AO97" i="3"/>
  <c r="AO94" i="3"/>
  <c r="AO96" i="3"/>
  <c r="AO89" i="3"/>
  <c r="AT82" i="3"/>
  <c r="AT83" i="3" s="1"/>
  <c r="AT84" i="3" s="1"/>
  <c r="AQ87" i="3" s="1"/>
  <c r="AO116" i="3"/>
  <c r="AO123" i="3"/>
  <c r="AO126" i="3"/>
  <c r="AO124" i="3"/>
  <c r="AO125" i="3"/>
  <c r="AO127" i="3"/>
  <c r="AN117" i="3" l="1"/>
  <c r="AO118" i="3" s="1"/>
  <c r="AN119" i="3" s="1"/>
  <c r="AQ94" i="3"/>
  <c r="AN98" i="3" s="1"/>
  <c r="AQ96" i="3"/>
  <c r="AN100" i="3" s="1"/>
  <c r="AQ97" i="3"/>
  <c r="AQ95" i="3"/>
  <c r="AQ89" i="3"/>
  <c r="AN90" i="3"/>
  <c r="AO91" i="3" s="1"/>
  <c r="AN106" i="3"/>
  <c r="AN101" i="3"/>
  <c r="AN99" i="3"/>
  <c r="AR116" i="3" l="1"/>
  <c r="AR117" i="3" s="1"/>
  <c r="AR115" i="3"/>
  <c r="AP122" i="3" s="1"/>
  <c r="AE65" i="3"/>
  <c r="AN107" i="3"/>
  <c r="AT91" i="3"/>
  <c r="AS91" i="3"/>
  <c r="AR91" i="3"/>
  <c r="AN91" i="3"/>
  <c r="AN103" i="3"/>
  <c r="AQ104" i="3" s="1"/>
  <c r="AP91" i="3"/>
  <c r="AQ91" i="3"/>
  <c r="AE82" i="3" l="1"/>
  <c r="AE84" i="3"/>
  <c r="AN108" i="3"/>
  <c r="AE67" i="3" s="1"/>
  <c r="AE66" i="3"/>
  <c r="AP127" i="3"/>
  <c r="AN132" i="3" s="1"/>
  <c r="AP124" i="3"/>
  <c r="AN129" i="3" s="1"/>
  <c r="AP123" i="3"/>
  <c r="AN128" i="3" s="1"/>
  <c r="AP126" i="3"/>
  <c r="AN131" i="3" s="1"/>
  <c r="AP125" i="3"/>
  <c r="AN130" i="3" s="1"/>
  <c r="AR104" i="3"/>
  <c r="AS104" i="3"/>
  <c r="AP104" i="3"/>
  <c r="AT104" i="3"/>
  <c r="AE71" i="3" l="1"/>
  <c r="AE72" i="3"/>
  <c r="AE73" i="3" s="1"/>
  <c r="AE75" i="3" s="1"/>
  <c r="AN134" i="3"/>
  <c r="AT135" i="3" s="1"/>
  <c r="AR135" i="3"/>
  <c r="AS135" i="3"/>
  <c r="AE76" i="3" l="1"/>
  <c r="AE77" i="3" s="1"/>
  <c r="AG26" i="3"/>
  <c r="AP135" i="3"/>
  <c r="AQ135" i="3"/>
  <c r="AE51" i="3" l="1"/>
  <c r="AE53" i="3"/>
  <c r="AE54" i="3" s="1"/>
  <c r="AE55" i="3" s="1"/>
  <c r="AE56" i="3" s="1"/>
  <c r="AE78" i="3"/>
  <c r="AE85" i="3" s="1"/>
  <c r="AE86" i="3"/>
  <c r="AE87" i="3" l="1"/>
  <c r="AE88" i="3" s="1"/>
  <c r="AE89" i="3" s="1"/>
  <c r="AE57" i="3"/>
  <c r="AE58" i="3" s="1"/>
  <c r="AE27" i="3" s="1"/>
  <c r="W20" i="3" s="1"/>
  <c r="AZ15" i="3" s="1"/>
  <c r="AH27" i="3"/>
  <c r="BH71" i="3" l="1"/>
  <c r="BJ71" i="3"/>
  <c r="BK71" i="3" s="1"/>
  <c r="AZ17" i="3" s="1"/>
  <c r="W29" i="3" s="1"/>
  <c r="X29" i="3" s="1"/>
  <c r="BH70" i="3"/>
  <c r="BI70" i="3"/>
  <c r="BI71" i="3"/>
  <c r="BJ70" i="3"/>
  <c r="BK70" i="3" s="1"/>
  <c r="AZ16" i="3" s="1"/>
  <c r="W26" i="3"/>
  <c r="Z9" i="3"/>
  <c r="Z10" i="3" s="1"/>
  <c r="AA10" i="3" s="1"/>
  <c r="AH26" i="3"/>
  <c r="AE90" i="3"/>
  <c r="AE91" i="3" s="1"/>
  <c r="X26" i="3" l="1"/>
  <c r="BF5" i="3" s="1"/>
  <c r="W23" i="3"/>
  <c r="X23" i="3" s="1"/>
  <c r="AZ18" i="3"/>
  <c r="AI99" i="3"/>
  <c r="AE92" i="3"/>
  <c r="AE95" i="3" l="1"/>
  <c r="AE97" i="3" s="1"/>
  <c r="AE26" i="3" s="1"/>
  <c r="AP39" i="3"/>
  <c r="AQ39" i="3"/>
  <c r="AY3" i="3"/>
  <c r="AR39" i="3"/>
  <c r="AR40" i="3" s="1"/>
  <c r="AX3" i="3"/>
  <c r="AM39" i="3"/>
  <c r="Z11" i="3"/>
  <c r="AL39" i="3"/>
  <c r="AN39" i="3"/>
  <c r="AO39" i="3"/>
  <c r="AE40" i="3"/>
  <c r="Z23" i="3"/>
  <c r="BF4" i="3"/>
  <c r="BF6" i="3" s="1"/>
  <c r="AR50" i="3" l="1"/>
  <c r="AT50" i="3"/>
  <c r="AP40" i="3"/>
  <c r="AL21" i="3"/>
  <c r="AA15" i="3"/>
  <c r="AG7" i="3"/>
  <c r="AF8" i="3" s="1"/>
  <c r="AG8" i="3" s="1"/>
  <c r="AM8" i="3" s="1"/>
  <c r="Z16" i="3"/>
  <c r="AA14" i="3"/>
  <c r="AL40" i="3"/>
  <c r="BQ27" i="3"/>
  <c r="BQ28" i="3"/>
  <c r="BI23" i="3"/>
  <c r="BJ23" i="3" s="1"/>
  <c r="AR46" i="3"/>
  <c r="AO46" i="3"/>
  <c r="AE96" i="3"/>
  <c r="AE98" i="3" s="1"/>
  <c r="AE99" i="3" s="1"/>
  <c r="AM7" i="3" l="1"/>
  <c r="AA16" i="3"/>
  <c r="AM15" i="3" s="1"/>
  <c r="BK23" i="3"/>
  <c r="BL23" i="3" s="1"/>
  <c r="BM23" i="3" s="1"/>
  <c r="BH27" i="3"/>
  <c r="BF27" i="3"/>
  <c r="BJ27" i="3" s="1"/>
  <c r="BD27" i="3"/>
  <c r="BI27" i="3" s="1"/>
  <c r="BK27" i="3" s="1"/>
  <c r="BL27" i="3" s="1"/>
  <c r="AO26" i="3"/>
  <c r="BQ29" i="3"/>
  <c r="AM9" i="3"/>
  <c r="AR51" i="3"/>
  <c r="AT51" i="3" s="1"/>
  <c r="AA53" i="3" l="1"/>
  <c r="BP27" i="3"/>
  <c r="BP28" i="3"/>
  <c r="BR28" i="3" s="1"/>
  <c r="BR27" i="3" l="1"/>
  <c r="BR29" i="3" s="1"/>
  <c r="BQ30" i="3" s="1"/>
  <c r="BR30" i="3" s="1"/>
  <c r="BN23" i="3" s="1"/>
  <c r="BQ23" i="3" s="1"/>
  <c r="BP29" i="3"/>
  <c r="AI24" i="3" l="1"/>
  <c r="W27" i="3" s="1"/>
  <c r="BO23" i="3"/>
  <c r="BV25" i="3" s="1"/>
  <c r="BV26" i="3" l="1"/>
  <c r="BP23" i="3" s="1"/>
  <c r="AE41" i="3"/>
  <c r="AJ39" i="3"/>
  <c r="AF39" i="3"/>
  <c r="AI39" i="3"/>
  <c r="AK39" i="3"/>
  <c r="AE39" i="3"/>
  <c r="AE42" i="3" s="1"/>
  <c r="AH39" i="3"/>
  <c r="AS39" i="3"/>
  <c r="AG39" i="3"/>
  <c r="BV24" i="3"/>
  <c r="BV23" i="3"/>
  <c r="AI44" i="3" l="1"/>
  <c r="AO49" i="3"/>
  <c r="AS49" i="3" s="1"/>
  <c r="AO48" i="3"/>
  <c r="AS48" i="3" s="1"/>
  <c r="AO50" i="3"/>
  <c r="AS50" i="3" s="1"/>
  <c r="AO40" i="3"/>
  <c r="AO52" i="3"/>
  <c r="AS52" i="3" s="1"/>
  <c r="AO53" i="3"/>
  <c r="AS53" i="3" s="1"/>
  <c r="AJ24" i="3"/>
  <c r="AJ21" i="3"/>
  <c r="AJ40" i="3"/>
  <c r="AE43" i="3"/>
  <c r="AG43" i="3" s="1"/>
  <c r="AG42" i="3"/>
  <c r="AO51" i="3"/>
  <c r="AS51" i="3" s="1"/>
  <c r="AK24" i="3"/>
  <c r="AK21" i="3"/>
  <c r="AR49" i="3" l="1"/>
  <c r="AT49" i="3" s="1"/>
  <c r="AR52" i="3"/>
  <c r="AT52" i="3"/>
  <c r="AR48" i="3"/>
  <c r="AT48" i="3" s="1"/>
  <c r="AO55" i="3"/>
  <c r="AB51" i="3"/>
  <c r="AR53" i="3"/>
  <c r="AT53" i="3" s="1"/>
  <c r="AR47" i="3"/>
  <c r="AQ54" i="3" l="1"/>
  <c r="AT47" i="3"/>
  <c r="AS54" i="3" s="1"/>
  <c r="AM18" i="3"/>
  <c r="AA55" i="3"/>
  <c r="F26" i="3" l="1"/>
  <c r="G27" i="3"/>
  <c r="L31" i="3"/>
  <c r="J32" i="3"/>
  <c r="H31" i="3"/>
  <c r="AS25" i="3"/>
  <c r="I21" i="3" s="1"/>
  <c r="AS21" i="3"/>
  <c r="AO47" i="3"/>
  <c r="F28" i="3" s="1"/>
  <c r="L32" i="3"/>
  <c r="I30" i="3"/>
  <c r="H28" i="3"/>
  <c r="AS24" i="3"/>
  <c r="I20" i="3" s="1"/>
  <c r="I26" i="3"/>
  <c r="G24" i="3"/>
  <c r="BQ74" i="3"/>
  <c r="BV74" i="3" s="1"/>
  <c r="Y75" i="3"/>
  <c r="BQ77" i="3"/>
  <c r="BV77" i="3" s="1"/>
  <c r="J27" i="3"/>
  <c r="L28" i="3"/>
  <c r="BQ75" i="3"/>
  <c r="BV75" i="3" s="1"/>
  <c r="K30" i="3"/>
  <c r="H27" i="3"/>
  <c r="K28" i="3"/>
  <c r="AS26" i="3"/>
  <c r="I22" i="3" s="1"/>
  <c r="J28" i="3"/>
  <c r="I27" i="3"/>
  <c r="H26" i="3"/>
  <c r="J34" i="3"/>
  <c r="L27" i="3"/>
  <c r="J26" i="3"/>
  <c r="F32" i="3"/>
  <c r="AS55" i="3"/>
  <c r="I32" i="3"/>
  <c r="K27" i="3"/>
  <c r="I31" i="3"/>
  <c r="I28" i="3"/>
  <c r="L33" i="3"/>
  <c r="AS23" i="3"/>
  <c r="I19" i="3" s="1"/>
  <c r="F27" i="3"/>
  <c r="G28" i="3"/>
  <c r="I34" i="3"/>
  <c r="J30" i="3"/>
  <c r="L34" i="3"/>
  <c r="G26" i="3"/>
  <c r="H30" i="3"/>
  <c r="AS22" i="3"/>
  <c r="I18" i="3" s="1"/>
  <c r="H32" i="3"/>
  <c r="F33" i="3"/>
  <c r="BQ76" i="3"/>
  <c r="J31" i="3"/>
  <c r="L30" i="3"/>
  <c r="F30" i="3"/>
  <c r="F31" i="3"/>
  <c r="K33" i="3"/>
  <c r="AS27" i="3"/>
  <c r="I23" i="3" s="1"/>
  <c r="H33" i="3"/>
  <c r="F34" i="3"/>
  <c r="H34" i="3"/>
  <c r="I33" i="3"/>
  <c r="J33" i="3"/>
  <c r="L26" i="3"/>
  <c r="K34" i="3"/>
  <c r="AS20" i="3"/>
  <c r="I17" i="3" s="1"/>
  <c r="K26" i="3"/>
  <c r="BQ79" i="3" l="1"/>
  <c r="BV79" i="3" s="1"/>
  <c r="BV76" i="3"/>
  <c r="G29" i="3"/>
  <c r="AM16" i="3"/>
  <c r="BV80" i="3" l="1"/>
  <c r="F18" i="3" s="1"/>
</calcChain>
</file>

<file path=xl/sharedStrings.xml><?xml version="1.0" encoding="utf-8"?>
<sst xmlns="http://schemas.openxmlformats.org/spreadsheetml/2006/main" count="1493" uniqueCount="1009">
  <si>
    <t>Légumes</t>
  </si>
  <si>
    <t>Huiles</t>
  </si>
  <si>
    <t>Qtt / Grs</t>
  </si>
  <si>
    <t>Kcal/100gr</t>
  </si>
  <si>
    <t>Protéines</t>
  </si>
  <si>
    <t>Lipides</t>
  </si>
  <si>
    <t>Glucides</t>
  </si>
  <si>
    <t>Cendres</t>
  </si>
  <si>
    <t>Ca</t>
  </si>
  <si>
    <t>P</t>
  </si>
  <si>
    <t>CMV</t>
  </si>
  <si>
    <t>% Legumes</t>
  </si>
  <si>
    <t>% Féculents</t>
  </si>
  <si>
    <t>% Viandes</t>
  </si>
  <si>
    <t>TOTAL</t>
  </si>
  <si>
    <t>Protéines (g)</t>
  </si>
  <si>
    <t>Lipides (g)</t>
  </si>
  <si>
    <t>Glucides (g)</t>
  </si>
  <si>
    <t>Cendres (g)</t>
  </si>
  <si>
    <t>Fibres (g)</t>
  </si>
  <si>
    <t>Ca (mg)</t>
  </si>
  <si>
    <t>P (mg)</t>
  </si>
  <si>
    <t>P  (mg)</t>
  </si>
  <si>
    <t>Type</t>
  </si>
  <si>
    <t>comprime</t>
  </si>
  <si>
    <t>poudre</t>
  </si>
  <si>
    <t>Nbr doses</t>
  </si>
  <si>
    <t>Ca/P</t>
  </si>
  <si>
    <t>Théorie basée sur la viande</t>
  </si>
  <si>
    <t>Calcul au plus juste</t>
  </si>
  <si>
    <t>Ca Missing</t>
  </si>
  <si>
    <t>Ca Total</t>
  </si>
  <si>
    <t>Ca CMV</t>
  </si>
  <si>
    <t>Fibres</t>
  </si>
  <si>
    <t>NaCl (g)</t>
  </si>
  <si>
    <t>NaCl</t>
  </si>
  <si>
    <t>Ingrédients</t>
  </si>
  <si>
    <t>Amidon</t>
  </si>
  <si>
    <t>Protéines animales</t>
  </si>
  <si>
    <t>Protéines végétales</t>
  </si>
  <si>
    <t>% Protéines animales</t>
  </si>
  <si>
    <t>% Protéines végétales</t>
  </si>
  <si>
    <t>% amidon</t>
  </si>
  <si>
    <t>K1 - Racial</t>
  </si>
  <si>
    <t>K2 - Comportement</t>
  </si>
  <si>
    <t>Entier</t>
  </si>
  <si>
    <t>Castré</t>
  </si>
  <si>
    <t>Stérilisée</t>
  </si>
  <si>
    <t>K3 - Physiologie</t>
  </si>
  <si>
    <t>Adulte</t>
  </si>
  <si>
    <t>K4 - Sanitaire</t>
  </si>
  <si>
    <t>Kc - Climatique</t>
  </si>
  <si>
    <t>n-9</t>
  </si>
  <si>
    <t>n-6</t>
  </si>
  <si>
    <t>n-3</t>
  </si>
  <si>
    <t>Ratio 6/3</t>
  </si>
  <si>
    <t>Validation entrée choix</t>
  </si>
  <si>
    <t>CCV</t>
  </si>
  <si>
    <t xml:space="preserve">SCORE TOTAL  </t>
  </si>
  <si>
    <t xml:space="preserve">SCORE BEE  </t>
  </si>
  <si>
    <t>SCORE % RM</t>
  </si>
  <si>
    <t>Validation entrée formule PERSO RM</t>
  </si>
  <si>
    <t>GAMELLE FINALE</t>
  </si>
  <si>
    <t>Poids Yaourt (g)</t>
  </si>
  <si>
    <t>Option Œuf</t>
  </si>
  <si>
    <t>Quantité</t>
  </si>
  <si>
    <t>Apport Kcal (si option = 1)</t>
  </si>
  <si>
    <t>Poids Oeuf (g)</t>
  </si>
  <si>
    <t>BASE DE DONNEES FACTEURS DE CORRECTION / RPC MINIMUM</t>
  </si>
  <si>
    <t>SANS CMV</t>
  </si>
  <si>
    <t>AVEC CMV</t>
  </si>
  <si>
    <t>K3' - Hormonal</t>
  </si>
  <si>
    <t>% de base</t>
  </si>
  <si>
    <t>Calcul automatique
de l'apport d'huile</t>
  </si>
  <si>
    <t>% correction</t>
  </si>
  <si>
    <t>% final</t>
  </si>
  <si>
    <t>Vérif si formule = 100%</t>
  </si>
  <si>
    <t>TRAITEMENT DES "OPTIONS"</t>
  </si>
  <si>
    <t>SCORING AFFICHAGE DES RESULTATS</t>
  </si>
  <si>
    <t>GAMELLE FINALE KCAL REEL</t>
  </si>
  <si>
    <t>ALL Kcal x %RM</t>
  </si>
  <si>
    <t>X fois 100gr</t>
  </si>
  <si>
    <t>x100g FORMULE LIBRE UNIQUEMENT</t>
  </si>
  <si>
    <t>DETERMINATION DE LA QUANTITE D'INGREDIENTS PAR TYPE DE FORMULE</t>
  </si>
  <si>
    <t>A couvrir</t>
  </si>
  <si>
    <t>Viande</t>
  </si>
  <si>
    <t>Féculent</t>
  </si>
  <si>
    <t>Légume</t>
  </si>
  <si>
    <t>Vérification des
apports par
ingrédient</t>
  </si>
  <si>
    <t>Ratio RM
% Huile
Vérif Kcal</t>
  </si>
  <si>
    <t>SCORE % FORMULE</t>
  </si>
  <si>
    <t>SCORE 100% RM CORRECT</t>
  </si>
  <si>
    <t>Qtt (g)</t>
  </si>
  <si>
    <t>Max œuf / poids</t>
  </si>
  <si>
    <t>Quantité choisie correcte ?</t>
  </si>
  <si>
    <t>0 = OK    -1 = NOK</t>
  </si>
  <si>
    <t xml:space="preserve">Si yaourt + œuf : </t>
  </si>
  <si>
    <t xml:space="preserve">Si œuf seul : </t>
  </si>
  <si>
    <t xml:space="preserve">Si yaourt seul : </t>
  </si>
  <si>
    <t>Texte final</t>
  </si>
  <si>
    <t>Texte original en fonction du choix des options</t>
  </si>
  <si>
    <t>CHECK KCAL</t>
  </si>
  <si>
    <t>Nbr doses ABS()</t>
  </si>
  <si>
    <t>Aucun</t>
  </si>
  <si>
    <t>CHECK S16 (kcal) + R63 (œuf)</t>
  </si>
  <si>
    <t>n-6/n-3 (max)</t>
  </si>
  <si>
    <t>Ca/P (max)</t>
  </si>
  <si>
    <t>Protéines (min)</t>
  </si>
  <si>
    <t>Ca g/Mcal cible</t>
  </si>
  <si>
    <t>H2O Estim.</t>
  </si>
  <si>
    <t>Vérification</t>
  </si>
  <si>
    <t>Ratio 9/6</t>
  </si>
  <si>
    <t>% Lipides (min)</t>
  </si>
  <si>
    <t>% Lipides (max)</t>
  </si>
  <si>
    <t>% Glucides (max)</t>
  </si>
  <si>
    <t>% Cendres (max)</t>
  </si>
  <si>
    <t>% Fibres (min)</t>
  </si>
  <si>
    <t>% Fibres (max)</t>
  </si>
  <si>
    <t>Ca/Mcal EM</t>
  </si>
  <si>
    <t>P/Mcal EM</t>
  </si>
  <si>
    <t>% Ca (min)</t>
  </si>
  <si>
    <t>% P (min)</t>
  </si>
  <si>
    <t>% Ca (max)</t>
  </si>
  <si>
    <t>Huile</t>
  </si>
  <si>
    <t>&gt; 0 si erreur</t>
  </si>
  <si>
    <t>DETERMINATION DE LA QUANTITE OPTIMALE DE CMV A UTILISER</t>
  </si>
  <si>
    <t>Dosage facile pour les utilisateurs</t>
  </si>
  <si>
    <t>Cuillère type</t>
  </si>
  <si>
    <t>Phrase complète</t>
  </si>
  <si>
    <t>Grammage</t>
  </si>
  <si>
    <t>Huile de Colza</t>
  </si>
  <si>
    <t>Huile de Hareng</t>
  </si>
  <si>
    <t>Huile de Pépins de raisin</t>
  </si>
  <si>
    <t>Huile de Sardine</t>
  </si>
  <si>
    <t>Huile de Saumon</t>
  </si>
  <si>
    <t>H2O</t>
  </si>
  <si>
    <t>Validation entrée formule + viande</t>
  </si>
  <si>
    <t>Formule (S47) + Viande (S49)</t>
  </si>
  <si>
    <t>% maximum</t>
  </si>
  <si>
    <t>Dépassement ?</t>
  </si>
  <si>
    <t>% Huile (ou facteur)</t>
  </si>
  <si>
    <t>Coef Huile</t>
  </si>
  <si>
    <t>Kcal théorique</t>
  </si>
  <si>
    <t>Apport réel</t>
  </si>
  <si>
    <t>Coef final à appliquer</t>
  </si>
  <si>
    <t>Apport corrigé en Kcal</t>
  </si>
  <si>
    <t>Singulier/Pluriel AUTO</t>
  </si>
  <si>
    <t>K2 - Légumes %</t>
  </si>
  <si>
    <t>K2 - Huiles %</t>
  </si>
  <si>
    <t>Ka - Légumes %</t>
  </si>
  <si>
    <t>Ka - Huiles %</t>
  </si>
  <si>
    <t>Kc - Légumes %</t>
  </si>
  <si>
    <t>Kc - Huiles %</t>
  </si>
  <si>
    <t>K4 - Légumes %</t>
  </si>
  <si>
    <t>K4 - Huiles %</t>
  </si>
  <si>
    <t>K3' - Légumes %</t>
  </si>
  <si>
    <t>K3' - Huiles %</t>
  </si>
  <si>
    <t>K3 - Légumes %</t>
  </si>
  <si>
    <t>K3 - Huiles %</t>
  </si>
  <si>
    <t>Qtt (unit)</t>
  </si>
  <si>
    <t>SEUIL DES ŒUFS</t>
  </si>
  <si>
    <t>GESTION DES SEUILS D'ALERTES NUTRITIONNELLES</t>
  </si>
  <si>
    <t>DOSE MAX POSSIBLE</t>
  </si>
  <si>
    <t>PLAFOND HUILE</t>
  </si>
  <si>
    <t>Humidité estimée en %</t>
  </si>
  <si>
    <t>Merci de remplir les petites cases grises</t>
  </si>
  <si>
    <t>Quantité d'œuf trop importante, calcul de ration impossible</t>
  </si>
  <si>
    <t>CLASSEMENT DES CMV</t>
  </si>
  <si>
    <t>CLASSEMENT DES FORMULES</t>
  </si>
  <si>
    <t>PREMIUM [OFF]</t>
  </si>
  <si>
    <t>Bien retirer les arrêtes !</t>
  </si>
  <si>
    <t>d'huile de hareng</t>
  </si>
  <si>
    <t>d'huile de sardine</t>
  </si>
  <si>
    <t>d'huile de saumon</t>
  </si>
  <si>
    <t>Huile de Noix</t>
  </si>
  <si>
    <t>Huile de germe de blé</t>
  </si>
  <si>
    <t>Huile de bourrache</t>
  </si>
  <si>
    <t>d'huile de Noix</t>
  </si>
  <si>
    <t>d'huile de germe de blé</t>
  </si>
  <si>
    <t>d'huile de bourrache</t>
  </si>
  <si>
    <t>Huile ISIO 4</t>
  </si>
  <si>
    <t>d'huile ISIO 4</t>
  </si>
  <si>
    <t>Une option est elle choisie ?</t>
  </si>
  <si>
    <t>Brassé 0%</t>
  </si>
  <si>
    <t>Lait entier crème</t>
  </si>
  <si>
    <t>Fromage blanc</t>
  </si>
  <si>
    <t>Simple</t>
  </si>
  <si>
    <t>Brassé</t>
  </si>
  <si>
    <t>Lait entier</t>
  </si>
  <si>
    <t>Light 0%</t>
  </si>
  <si>
    <t>yaourt nature brassé 0%</t>
  </si>
  <si>
    <t>yaourt nature simple</t>
  </si>
  <si>
    <t>yaourt nature brassé</t>
  </si>
  <si>
    <t>yaourt nature au lait entier</t>
  </si>
  <si>
    <t>yaourt nature light 0%</t>
  </si>
  <si>
    <t>Lait de brebis</t>
  </si>
  <si>
    <t>Lait de chèvre 0%</t>
  </si>
  <si>
    <t>1/2 pot</t>
  </si>
  <si>
    <t>Son d'avoine</t>
  </si>
  <si>
    <t>Option Yaourt COMPLETE (avec qtt !)</t>
  </si>
  <si>
    <t>1 pot</t>
  </si>
  <si>
    <t>1 cuil. à soupe</t>
  </si>
  <si>
    <t xml:space="preserve">   1 = si au moins une option est choisie</t>
  </si>
  <si>
    <t>A faire très cuire et à écraser</t>
  </si>
  <si>
    <t>A cuire très très longtemps !</t>
  </si>
  <si>
    <t>A reconstituer avec de l'eau chaude</t>
  </si>
  <si>
    <t>A faire bien cuire à l’eau ou vapeur</t>
  </si>
  <si>
    <t>A faire bouillir à l'eau non salée</t>
  </si>
  <si>
    <t>A faire bien cuire</t>
  </si>
  <si>
    <t>A bien mixer et cuire</t>
  </si>
  <si>
    <t>Juste rincé ou bien cuit</t>
  </si>
  <si>
    <t>En boîte ou surgelés</t>
  </si>
  <si>
    <t>d'huile de colza</t>
  </si>
  <si>
    <t>Tous les jours, sauf si huile de poisson</t>
  </si>
  <si>
    <t>1 à 3 fois par semaine maximum</t>
  </si>
  <si>
    <t>d'huile de pépins de raisin</t>
  </si>
  <si>
    <t>1 à 2 fois par semaine maximum</t>
  </si>
  <si>
    <t>A couper en petits morceaux</t>
  </si>
  <si>
    <t>Préparé en omelette</t>
  </si>
  <si>
    <t>Plaque 100% viande</t>
  </si>
  <si>
    <t>Plaque 100% filets hachés</t>
  </si>
  <si>
    <t>Rapport qualité/prix</t>
  </si>
  <si>
    <t>Réhydrater 10-15min à l’eau chaude</t>
  </si>
  <si>
    <t>A donner de préférence très mûre</t>
  </si>
  <si>
    <t>DONNEES APPARTENANT A</t>
  </si>
  <si>
    <t>CROQUETTES COMMENT CHOISIR</t>
  </si>
  <si>
    <t>UTILISATION</t>
  </si>
  <si>
    <t>DIFFUSION</t>
  </si>
  <si>
    <t>COPIE</t>
  </si>
  <si>
    <t>STRICTEMENT INTERDITE !!!!!!!!!!</t>
  </si>
  <si>
    <t>STD (0)</t>
  </si>
  <si>
    <t>PDS (1)</t>
  </si>
  <si>
    <t>Calcul par le poids g/kg</t>
  </si>
  <si>
    <t>MISE EN ORDRE DES CHOIX FORMULES / CMV + AIDE DE PREPARATION</t>
  </si>
  <si>
    <t>AIDE FECULENTS</t>
  </si>
  <si>
    <t>AIDE LEGUMES</t>
  </si>
  <si>
    <t>AIDE VIANDES</t>
  </si>
  <si>
    <t>AIDE HUILES</t>
  </si>
  <si>
    <t>En "bon" français</t>
  </si>
  <si>
    <t>TEXTE INFORMATION ZONE 3</t>
  </si>
  <si>
    <t>TEXTE INFORMATION ZONE 2</t>
  </si>
  <si>
    <t>AIDE A LA PREPARATION</t>
  </si>
  <si>
    <t>Trouvable en pharmacie</t>
  </si>
  <si>
    <t>Le moins cher en sénior</t>
  </si>
  <si>
    <t>Féculents</t>
  </si>
  <si>
    <t/>
  </si>
  <si>
    <t>LISTE HUILE</t>
  </si>
  <si>
    <t>LISTE LEGUMES</t>
  </si>
  <si>
    <t>LISTE FECULENTS</t>
  </si>
  <si>
    <t>LISTE VIANDES</t>
  </si>
  <si>
    <t>SI calcul par poids g/kg</t>
  </si>
  <si>
    <t>REMPLISSAGE AUTOMATIQUE                                                               REMPLISSAGE AUTOMATIQUE                                                               REMPLISSAGE AUTOMATIQUE                                                               REMPLISSAGE AUTOMATIQUE</t>
  </si>
  <si>
    <t>Œufs</t>
  </si>
  <si>
    <t>OPTION 1 : ŒUFS</t>
  </si>
  <si>
    <t>OPTION 2 : YAOURTS</t>
  </si>
  <si>
    <t>de carotte cuite</t>
  </si>
  <si>
    <t>de citrouille cuite</t>
  </si>
  <si>
    <t>ce courge musquée cuite</t>
  </si>
  <si>
    <t>de courge spaghetti cuite</t>
  </si>
  <si>
    <t>de courgette (avec peau) cuite</t>
  </si>
  <si>
    <t>de haricot vert cuit</t>
  </si>
  <si>
    <t>de haricot vert surgelé cuit</t>
  </si>
  <si>
    <t>de haricot vert en conserve cuit</t>
  </si>
  <si>
    <t>de petits pois carottes cuits</t>
  </si>
  <si>
    <t>de son d'avoine</t>
  </si>
  <si>
    <t>de flocon d'avoine cuit</t>
  </si>
  <si>
    <t>de flocon de riz cuit</t>
  </si>
  <si>
    <t>de patate douce cuite</t>
  </si>
  <si>
    <t>de pâtes sèches (aux œufs) cuites</t>
  </si>
  <si>
    <t>de pâtes sèches (standard) cuites</t>
  </si>
  <si>
    <t>de pomme de terre cuite à l'eau</t>
  </si>
  <si>
    <t>de purée mousline reconstituée</t>
  </si>
  <si>
    <t>de riz blanc cuit</t>
  </si>
  <si>
    <t>de tapioca cuit</t>
  </si>
  <si>
    <t>de banane plantain cuite</t>
  </si>
  <si>
    <t>de quinoa cuit</t>
  </si>
  <si>
    <t>de faux-filet de boeuf cru</t>
  </si>
  <si>
    <t>de faux-filet de boeuf cuit</t>
  </si>
  <si>
    <t>de rumsteck de bœuf cru</t>
  </si>
  <si>
    <t>de rumsteck de bœuf cuit</t>
  </si>
  <si>
    <t>de boeuf à bourguignon cru</t>
  </si>
  <si>
    <t>de boeuf à bourguignon cuit</t>
  </si>
  <si>
    <t>de bœuf en steak haché (5% MG) cru</t>
  </si>
  <si>
    <t>de bœuf en steak haché (5% MG) cuit</t>
  </si>
  <si>
    <t>de bœuf en steak haché (15% MG) cru</t>
  </si>
  <si>
    <t>de bœuf en steak haché (15% MG) cuit</t>
  </si>
  <si>
    <t>de viande de canard crue</t>
  </si>
  <si>
    <t>de viande de canard cuite</t>
  </si>
  <si>
    <t>de faux-filet de cheval cru</t>
  </si>
  <si>
    <t>de faux-filet de cheval cuit</t>
  </si>
  <si>
    <t>d'escalope de dinde crue</t>
  </si>
  <si>
    <t>d'escalope de dinde cuite</t>
  </si>
  <si>
    <t>de viande de lapin crue</t>
  </si>
  <si>
    <t>de viande de lapin cuite</t>
  </si>
  <si>
    <t>d'épaule de porc crue</t>
  </si>
  <si>
    <t>de filet maigre de porc cru</t>
  </si>
  <si>
    <t>de filet maigre de porc bien cuit</t>
  </si>
  <si>
    <t>de filet (sans peau) de poulet cru</t>
  </si>
  <si>
    <t>de filet (sans peau) de poulet cuit</t>
  </si>
  <si>
    <t>de collier de veau cuit</t>
  </si>
  <si>
    <t>de collier de veau cru</t>
  </si>
  <si>
    <t>d'escalope de veau crue</t>
  </si>
  <si>
    <t>d'escalope de veau cuite</t>
  </si>
  <si>
    <t>de pavé de cabillaud bien cuit</t>
  </si>
  <si>
    <t>de pavé de colin bien cuit</t>
  </si>
  <si>
    <t>de pavé de saumon cuit</t>
  </si>
  <si>
    <t>de sardines entières fraîches</t>
  </si>
  <si>
    <t>de Bon Instinct au canard cru</t>
  </si>
  <si>
    <t>de Bon Instinct à la dinde cru</t>
  </si>
  <si>
    <t>de Bon Instinct au lapin cru</t>
  </si>
  <si>
    <t>de Bon Instinct à la pintade cru</t>
  </si>
  <si>
    <t>de Bon Instinct au poulet cru</t>
  </si>
  <si>
    <t>de Bon Instinct au poulet haché cru</t>
  </si>
  <si>
    <t>de poulet haché Easy-BARF cru</t>
  </si>
  <si>
    <t>de dinde hachée Easy-BARF cru</t>
  </si>
  <si>
    <t>de bœuf haché Easy-BARF cru</t>
  </si>
  <si>
    <t>Banane</t>
  </si>
  <si>
    <t>de banane (bien mûre)</t>
  </si>
  <si>
    <t>Yaourts (BLEU = CIQUAL)</t>
  </si>
  <si>
    <t>de potiron cuit</t>
  </si>
  <si>
    <t>Marge haute</t>
  </si>
  <si>
    <t>Marge basse</t>
  </si>
  <si>
    <t>Kcal cible et réel</t>
  </si>
  <si>
    <t>Ecart et Ecart %</t>
  </si>
  <si>
    <t>Kcal ration seuil haut</t>
  </si>
  <si>
    <t>Kcal ration seuil bas</t>
  </si>
  <si>
    <t>% tolérance AUTO</t>
  </si>
  <si>
    <t>% écart admis</t>
  </si>
  <si>
    <t>Ecart réel de kcal en %</t>
  </si>
  <si>
    <t>KCAL R&amp;D SUR MARGE D'ERREUR</t>
  </si>
  <si>
    <t>Son poids IDEAL</t>
  </si>
  <si>
    <t>en kg</t>
  </si>
  <si>
    <t>Sa race</t>
  </si>
  <si>
    <t>Son activité</t>
  </si>
  <si>
    <t>Son stade de vie</t>
  </si>
  <si>
    <t>Est-il stérilisé</t>
  </si>
  <si>
    <t>Son état corporel</t>
  </si>
  <si>
    <t>Son lieu de vie</t>
  </si>
  <si>
    <t>Type de formule</t>
  </si>
  <si>
    <t>Choix du CMV</t>
  </si>
  <si>
    <t>Mon chat n'aime pas les légumes</t>
  </si>
  <si>
    <t>Croisé(e)  ou Autre Race</t>
  </si>
  <si>
    <t>Bleu Russe</t>
  </si>
  <si>
    <t>British Shorthair</t>
  </si>
  <si>
    <t>Burmese</t>
  </si>
  <si>
    <t>Cornish Rex</t>
  </si>
  <si>
    <t>Devon Rex</t>
  </si>
  <si>
    <t>Havana Brown</t>
  </si>
  <si>
    <t>Javanais</t>
  </si>
  <si>
    <t>Manx</t>
  </si>
  <si>
    <t>Ragdoll</t>
  </si>
  <si>
    <t>Somali</t>
  </si>
  <si>
    <t>Turc de Van</t>
  </si>
  <si>
    <t>K3' - Emotion</t>
  </si>
  <si>
    <t xml:space="preserve">Normal </t>
  </si>
  <si>
    <t>Calme</t>
  </si>
  <si>
    <t>Très calme</t>
  </si>
  <si>
    <t>Très speed / Très actif</t>
  </si>
  <si>
    <t xml:space="preserve">Un peu stressé </t>
  </si>
  <si>
    <t>Très stressé</t>
  </si>
  <si>
    <t xml:space="preserve">A l'intérieur </t>
  </si>
  <si>
    <t xml:space="preserve">A l'extérieur l'été </t>
  </si>
  <si>
    <t>A l'extérieur l'hiver</t>
  </si>
  <si>
    <t xml:space="preserve">Très bien en poids </t>
  </si>
  <si>
    <t xml:space="preserve">Un peu trop gros  </t>
  </si>
  <si>
    <t xml:space="preserve">Vraiment trop gros (obèse) </t>
  </si>
  <si>
    <t xml:space="preserve">Un peu trop maigre </t>
  </si>
  <si>
    <t xml:space="preserve">Vraiment trop maigre (cachectique) </t>
  </si>
  <si>
    <t xml:space="preserve">Chaton de 2 à 4 mois </t>
  </si>
  <si>
    <t xml:space="preserve">Chaton de 4 à 6 mois  </t>
  </si>
  <si>
    <t xml:space="preserve">Chaton de 6 à 8 mois </t>
  </si>
  <si>
    <t xml:space="preserve">Jeune adulte de 8 à 12 mois </t>
  </si>
  <si>
    <t>g/kg DANGER</t>
  </si>
  <si>
    <t>g/kg MIN</t>
  </si>
  <si>
    <t>Son tempérament</t>
  </si>
  <si>
    <t>OBJECTIF BE  /  APPORTS EN PROTEINES</t>
  </si>
  <si>
    <t>SEUIL KCAL ET % MARGE</t>
  </si>
  <si>
    <t>g/kg protéines</t>
  </si>
  <si>
    <t>SUPER PREMIUM [OFF]</t>
  </si>
  <si>
    <t>RESULTAT</t>
  </si>
  <si>
    <t>Senior</t>
  </si>
  <si>
    <t>2 cuil. à soupe</t>
  </si>
  <si>
    <t>1 cuil. à café</t>
  </si>
  <si>
    <t>Poids X10 arrondi inférieur</t>
  </si>
  <si>
    <t>Son de blé</t>
  </si>
  <si>
    <t>de son de blé</t>
  </si>
  <si>
    <t>Petphos Ca/P=2</t>
  </si>
  <si>
    <t>LOCK FECULENT</t>
  </si>
  <si>
    <t>en grammes</t>
  </si>
  <si>
    <t>3/4 pot</t>
  </si>
  <si>
    <t>4 cuil. à soupe</t>
  </si>
  <si>
    <t>3 cuil. à soupe</t>
  </si>
  <si>
    <t>2 cuil. à café</t>
  </si>
  <si>
    <t>FLAG YAOURT A REMPLIR</t>
  </si>
  <si>
    <t>Protéines LEVEL TOTAL</t>
  </si>
  <si>
    <t>1 = NIV1 ; 2=NIV2</t>
  </si>
  <si>
    <t>PREPARATION DES MESSAGES D'ALERTES</t>
  </si>
  <si>
    <t>MESSAGE ALERTE PROBLEME NUTRITIONNEL</t>
  </si>
  <si>
    <t>PRO RAW</t>
  </si>
  <si>
    <t>ECO MALIN</t>
  </si>
  <si>
    <t>[OFF]</t>
  </si>
  <si>
    <t>MESSAGE ALERTE % MS</t>
  </si>
  <si>
    <t>Texte 1</t>
  </si>
  <si>
    <t>Trop faible</t>
  </si>
  <si>
    <t>Texte 2</t>
  </si>
  <si>
    <t xml:space="preserve">Trop élevé </t>
  </si>
  <si>
    <t>Avec la formule manuelle vous devez vous assurer de couvrir TOUS les besoins nutritionnels de votre chat !</t>
  </si>
  <si>
    <t>Texte 3</t>
  </si>
  <si>
    <t>Faible</t>
  </si>
  <si>
    <t>actif</t>
  </si>
  <si>
    <t>SWITCH</t>
  </si>
  <si>
    <t>inactif</t>
  </si>
  <si>
    <t>ACTIVATION</t>
  </si>
  <si>
    <t>ECO et PRO RAW</t>
  </si>
  <si>
    <t>QUANTITE YAOURT</t>
  </si>
  <si>
    <t>MS GLUCIDES</t>
  </si>
  <si>
    <t>en % cible</t>
  </si>
  <si>
    <t>ETAT</t>
  </si>
  <si>
    <t>TYPE DE FONCTION</t>
  </si>
  <si>
    <t>Vérification de la quantité d'œuf en fonction du poid vif de l'animal</t>
  </si>
  <si>
    <t>VALEUR</t>
  </si>
  <si>
    <t>voir les
stade de vie</t>
  </si>
  <si>
    <t>CETTE PAGE EST RESERVEE A LA PROGRAMMATION DU CALCULATEUR - NE PAS MODIFIER</t>
  </si>
  <si>
    <t>Activation ou désactivation du CMV à des fins de tests ou de démonstration pour les sceptiques</t>
  </si>
  <si>
    <t>TABLEAU DE BORD DES FONCTIONS AVANCEES</t>
  </si>
  <si>
    <t>Ca g/Mcal BEE minimum :</t>
  </si>
  <si>
    <t xml:space="preserve">Correction du CALCIUM par rapport au BEE : </t>
  </si>
  <si>
    <t>EPA</t>
  </si>
  <si>
    <t>DHA</t>
  </si>
  <si>
    <t>* VIDE *</t>
  </si>
  <si>
    <t>CALCUL DES ACIDES GRAS OMEGA-3</t>
  </si>
  <si>
    <t>LIBRE</t>
  </si>
  <si>
    <t>TYPE</t>
  </si>
  <si>
    <t>CONDITIONNEMENT</t>
  </si>
  <si>
    <t>Petphos Ca/P=2 (grand chien)</t>
  </si>
  <si>
    <t>DONNEES CIQUAL</t>
  </si>
  <si>
    <t xml:space="preserve">ESTIMATION </t>
  </si>
  <si>
    <t>Carotte - CRUE</t>
  </si>
  <si>
    <t>de carotte crue</t>
  </si>
  <si>
    <t xml:space="preserve">A bien mixer </t>
  </si>
  <si>
    <t>Carotte - CUITE</t>
  </si>
  <si>
    <t>Citrouille - CUITE</t>
  </si>
  <si>
    <t>Courge musquée - CUITE</t>
  </si>
  <si>
    <t>Courge spaghetti - CUITE</t>
  </si>
  <si>
    <t>Courgette avec peau - CRUE</t>
  </si>
  <si>
    <t>de courgette (avec peau) crue</t>
  </si>
  <si>
    <t>A donner en petits morceaux ou mixée</t>
  </si>
  <si>
    <t>Courgette avec peau - CUITE</t>
  </si>
  <si>
    <t>Concombre avec peau - CRU</t>
  </si>
  <si>
    <t>de concombre cru</t>
  </si>
  <si>
    <t>Haricot vert - CUIT</t>
  </si>
  <si>
    <t>Haricot vert surgelé - CUIT</t>
  </si>
  <si>
    <t>Haricot vert en conserve - CUIT</t>
  </si>
  <si>
    <t xml:space="preserve">Mâche, salade - CRUE </t>
  </si>
  <si>
    <t>de mâche (salade) crue</t>
  </si>
  <si>
    <t>Petits pois, carottes - CUITS</t>
  </si>
  <si>
    <t>Potiron - CUIT</t>
  </si>
  <si>
    <t>Flocon d'avoine - CUIT</t>
  </si>
  <si>
    <t>Flocon de riz - CUIT</t>
  </si>
  <si>
    <t>Patate douce - CUITE</t>
  </si>
  <si>
    <t>Pâtes sèches aux œufs - CUITES</t>
  </si>
  <si>
    <t>Pâtes sèches standard - CUITES</t>
  </si>
  <si>
    <t>Pomme de terre - CUITE</t>
  </si>
  <si>
    <t>Purée mousline reconstituée</t>
  </si>
  <si>
    <t>Riz blanc - CUIT</t>
  </si>
  <si>
    <t>Tapioca - CUIT</t>
  </si>
  <si>
    <t>Banane plantain - CUITE</t>
  </si>
  <si>
    <t>Quinoa - CUIT</t>
  </si>
  <si>
    <t>Boeuf à bourguignon - CRU</t>
  </si>
  <si>
    <t>Boeuf à bourguignon - CUIT</t>
  </si>
  <si>
    <t>Canard, viande - CRUE</t>
  </si>
  <si>
    <t>Canard, viande - CUITE</t>
  </si>
  <si>
    <t>Cheval, faux-filet - CRU</t>
  </si>
  <si>
    <t>Cheval, faux-filet - CUIT</t>
  </si>
  <si>
    <t>Dinde, escalope - CRUE</t>
  </si>
  <si>
    <t>Dinde, escalope - CUITE</t>
  </si>
  <si>
    <t>Lapin, viande - CRUE</t>
  </si>
  <si>
    <t>Lapin, viande - CUITE</t>
  </si>
  <si>
    <t>Porc, épaule - CRUE</t>
  </si>
  <si>
    <t>Porc, épaule - CUITE</t>
  </si>
  <si>
    <t>Veau, collier - CRU</t>
  </si>
  <si>
    <t>Veau, collier - CUIT</t>
  </si>
  <si>
    <t>Veau, escalope - CRUE</t>
  </si>
  <si>
    <t>Veau, escalope - CUITE</t>
  </si>
  <si>
    <t>Sardine (conserve) - DEJA CUITES</t>
  </si>
  <si>
    <t>de sardines entières en conserve</t>
  </si>
  <si>
    <t>Sardines fraîches - ENTIERES</t>
  </si>
  <si>
    <t>Sprat entier - CRU</t>
  </si>
  <si>
    <t>de sprats entiers et crus</t>
  </si>
  <si>
    <t>d'œufs entiers bien cuit</t>
  </si>
  <si>
    <t>de blanc d'œufs bien cuit</t>
  </si>
  <si>
    <t>Easy-BARF poulet haché - CRU</t>
  </si>
  <si>
    <t>Easy-BARF dinde hachée - CRU</t>
  </si>
  <si>
    <t>Easy-BARF bœuf haché - CRU</t>
  </si>
  <si>
    <t>Bon Instinct au canard - CRU</t>
  </si>
  <si>
    <t>Bon Instinct à la dinde - CRU</t>
  </si>
  <si>
    <t>Bon Instinct au lapin - CRU</t>
  </si>
  <si>
    <t>Bon Instinct à la pintade - CRU</t>
  </si>
  <si>
    <t>Bon Instinct au poulet - CRU</t>
  </si>
  <si>
    <t>Bon Instinct poulet haché - CRU</t>
  </si>
  <si>
    <t>Estimation / Absence de données ou de cohérence</t>
  </si>
  <si>
    <t xml:space="preserve">Attention dans les tables dont CIQUAL : "sardine" désigne seulement le filet ! Cf tables du danemark </t>
  </si>
  <si>
    <t>PRE-ALERTE (à XX% du seuil, dans le même ordre)</t>
  </si>
  <si>
    <t>not use</t>
  </si>
  <si>
    <t>SEUIL REGLABLE</t>
  </si>
  <si>
    <t>CA et P / Mcal BEE</t>
  </si>
  <si>
    <t>n-6 / Mcal BEE</t>
  </si>
  <si>
    <t>Ca (min)</t>
  </si>
  <si>
    <t>P (min)</t>
  </si>
  <si>
    <t>Ca (max)</t>
  </si>
  <si>
    <t>P (max)</t>
  </si>
  <si>
    <t>n-6 (min)</t>
  </si>
  <si>
    <t>ARRONDI INF</t>
  </si>
  <si>
    <t>SANS ARRONDI</t>
  </si>
  <si>
    <t>ARRONDI SUP</t>
  </si>
  <si>
    <t>n-6 (min) [OFF]</t>
  </si>
  <si>
    <t>CA total (INF) / Mcal BEE</t>
  </si>
  <si>
    <t>CA total (SUP) / Mcal BEE</t>
  </si>
  <si>
    <t>INF = 0 ; SUP = 1</t>
  </si>
  <si>
    <t>Nbr Doses optimisées</t>
  </si>
  <si>
    <t>SEUILS EN g / Mcal de BEE (CCC)</t>
  </si>
  <si>
    <t>Agepi Omega 3 et 6</t>
  </si>
  <si>
    <t>SI calcul par unité/kg</t>
  </si>
  <si>
    <t>&gt; 0 si gélule</t>
  </si>
  <si>
    <t>Poids idéal</t>
  </si>
  <si>
    <t>Qtt gélule</t>
  </si>
  <si>
    <t>gélule Agepi Omega 3 et 6</t>
  </si>
  <si>
    <t>Txt Std</t>
  </si>
  <si>
    <t>Txt Gelule</t>
  </si>
  <si>
    <t>Txt Final</t>
  </si>
  <si>
    <t>GELULE AGEPI - MENTION SPECIALE ANTINEA ^^</t>
  </si>
  <si>
    <t>En gélule de 1 gramme</t>
  </si>
  <si>
    <t>de viande de cuisse de poulet crue</t>
  </si>
  <si>
    <t>de viande de cuisse de poulet cuite</t>
  </si>
  <si>
    <t>Chat type Européen poil court</t>
  </si>
  <si>
    <t>Chat type Européen poil mi-long</t>
  </si>
  <si>
    <t>Chat type Européen poil long</t>
  </si>
  <si>
    <t>Abyssin</t>
  </si>
  <si>
    <t>Américain Bobtail</t>
  </si>
  <si>
    <t>Américain Curl</t>
  </si>
  <si>
    <t>Américain Shorthair</t>
  </si>
  <si>
    <t>Angora Turc</t>
  </si>
  <si>
    <t>Balinais</t>
  </si>
  <si>
    <t>Bengal</t>
  </si>
  <si>
    <t>Birman</t>
  </si>
  <si>
    <t>Bobtail Japonais</t>
  </si>
  <si>
    <t>Bombay</t>
  </si>
  <si>
    <t>British Longhair</t>
  </si>
  <si>
    <t>Chartreux</t>
  </si>
  <si>
    <t>Exotic Shorthair</t>
  </si>
  <si>
    <t>Highland Fold</t>
  </si>
  <si>
    <t>Korat</t>
  </si>
  <si>
    <t>Maine Coon</t>
  </si>
  <si>
    <t>Mandarin</t>
  </si>
  <si>
    <t>Mau Egyptien</t>
  </si>
  <si>
    <t>Munchkin</t>
  </si>
  <si>
    <t>Norvégien</t>
  </si>
  <si>
    <t>Oriental Shorthair</t>
  </si>
  <si>
    <t>Persan</t>
  </si>
  <si>
    <t>Pixie Bob</t>
  </si>
  <si>
    <t>Sacré de Birmanie</t>
  </si>
  <si>
    <t>Savannah</t>
  </si>
  <si>
    <t>Scottish Fold</t>
  </si>
  <si>
    <t>Siamois</t>
  </si>
  <si>
    <t>Sibérien</t>
  </si>
  <si>
    <t>Snow shoe</t>
  </si>
  <si>
    <t>Sphynx</t>
  </si>
  <si>
    <t>Thaï</t>
  </si>
  <si>
    <t>Tonkinois</t>
  </si>
  <si>
    <t>Seuil minimum CMV FINAL</t>
  </si>
  <si>
    <t>Coefficient K3</t>
  </si>
  <si>
    <t>CMV 
OPTIMISATION
K3</t>
  </si>
  <si>
    <t>Si K3  &lt; ou = 1</t>
  </si>
  <si>
    <t xml:space="preserve">Si K3  &gt; 1 et &lt; 2 </t>
  </si>
  <si>
    <t>Si K3  &gt; ou = 2</t>
  </si>
  <si>
    <t>Activation ou désactivation de la fonction intelligente d'optimisation de la dose de CMV</t>
  </si>
  <si>
    <t>LEGUMES</t>
  </si>
  <si>
    <t>HUILES</t>
  </si>
  <si>
    <t>VIANDES</t>
  </si>
  <si>
    <t>FECULENTS</t>
  </si>
  <si>
    <t>grammes</t>
  </si>
  <si>
    <t>g/kg et g protéines requis</t>
  </si>
  <si>
    <t>Kcal (BE) requis et BEE</t>
  </si>
  <si>
    <t>apport kcal</t>
  </si>
  <si>
    <t>apport kcal corrigé</t>
  </si>
  <si>
    <t>LEGUMES : CAS DU "SON DE…"</t>
  </si>
  <si>
    <t>Apport option œuf</t>
  </si>
  <si>
    <t>Apport option yaourt</t>
  </si>
  <si>
    <t>Besoin Kcal à couvrir par le menu</t>
  </si>
  <si>
    <t>Besoin Kcal couvert réellement menu "de base"</t>
  </si>
  <si>
    <t>Ecart entre le besoin et les apports</t>
  </si>
  <si>
    <t>APPORT EN GLUCIDES</t>
  </si>
  <si>
    <t>apport en grammes</t>
  </si>
  <si>
    <t>ŒUF</t>
  </si>
  <si>
    <t>YAOURT</t>
  </si>
  <si>
    <t>ŒUFS</t>
  </si>
  <si>
    <t>YAOURTS</t>
  </si>
  <si>
    <t>g glucides / 100g</t>
  </si>
  <si>
    <t>somme des glucides</t>
  </si>
  <si>
    <t>% part glucides</t>
  </si>
  <si>
    <t>AUTRES APPORTS</t>
  </si>
  <si>
    <t>protéines</t>
  </si>
  <si>
    <t>lipides</t>
  </si>
  <si>
    <t>cendres</t>
  </si>
  <si>
    <t>fibres</t>
  </si>
  <si>
    <t>somme des lipides</t>
  </si>
  <si>
    <t>somme des protéines</t>
  </si>
  <si>
    <t>somme des cendres</t>
  </si>
  <si>
    <t>somme des fibres</t>
  </si>
  <si>
    <t>POIDS TOTAL</t>
  </si>
  <si>
    <t>PROTEINES</t>
  </si>
  <si>
    <t>LIPIDES</t>
  </si>
  <si>
    <t>GLUCIDES</t>
  </si>
  <si>
    <t>CENDRES</t>
  </si>
  <si>
    <t>FIBRES</t>
  </si>
  <si>
    <t>Si négatif, retrait (g) féculents</t>
  </si>
  <si>
    <t>MENU "STANDARD"</t>
  </si>
  <si>
    <t>Besoin Kcal couvert*</t>
  </si>
  <si>
    <t>* hors option</t>
  </si>
  <si>
    <t>% final * coef huile</t>
  </si>
  <si>
    <t>FLAG</t>
  </si>
  <si>
    <t>CMV* (fixe)</t>
  </si>
  <si>
    <t>MENU PRO RAW</t>
  </si>
  <si>
    <t>total kcal</t>
  </si>
  <si>
    <t>Equivalent en g de viande</t>
  </si>
  <si>
    <t>STANDARD</t>
  </si>
  <si>
    <t>AJUSTEMENTS AUTOMATIQUES MODE "ECO"</t>
  </si>
  <si>
    <t>Dans l'ordre des optimisations… féculent, puis huile et enfin viande ;-)</t>
  </si>
  <si>
    <t>STADE DE VIE</t>
  </si>
  <si>
    <t>Ecart avec l'estimation</t>
  </si>
  <si>
    <t>2. ETAT</t>
  </si>
  <si>
    <t>1. CORRECTION FECULENT</t>
  </si>
  <si>
    <t>1. ETAT</t>
  </si>
  <si>
    <t>Qtt féculent écart MAX</t>
  </si>
  <si>
    <t>% glucide écart MAX</t>
  </si>
  <si>
    <t>Ajout (g) féculents</t>
  </si>
  <si>
    <t>Ajout (g) avec seuil max</t>
  </si>
  <si>
    <t>2. CORRECTION HUILE</t>
  </si>
  <si>
    <t>Dose MAX</t>
  </si>
  <si>
    <t>% lipide écart MAX</t>
  </si>
  <si>
    <t>Qtt huile écart MAX</t>
  </si>
  <si>
    <t>Ajout (g) huile</t>
  </si>
  <si>
    <t>Total g d'huile</t>
  </si>
  <si>
    <t>Total g huile final &lt; Dose MAX</t>
  </si>
  <si>
    <t>2g d'huile</t>
  </si>
  <si>
    <t>Coef kcal</t>
  </si>
  <si>
    <t>Agepi Flag</t>
  </si>
  <si>
    <t>3. CORRECTION VIANDE</t>
  </si>
  <si>
    <t>3. ETAT</t>
  </si>
  <si>
    <t>1g viande</t>
  </si>
  <si>
    <t>1g féculent</t>
  </si>
  <si>
    <t>Ajout (g) de viande</t>
  </si>
  <si>
    <t>Total (g) de viande</t>
  </si>
  <si>
    <t>% écart par rapport au BE</t>
  </si>
  <si>
    <t>CALCUL DU MENU "ECO MALIN"</t>
  </si>
  <si>
    <t>CALCUL DU MENU "PRO RAW"</t>
  </si>
  <si>
    <t>APPORT EN LIPIDES</t>
  </si>
  <si>
    <t>g ingrédients</t>
  </si>
  <si>
    <t>glucides</t>
  </si>
  <si>
    <t>proteines</t>
  </si>
  <si>
    <t xml:space="preserve">Dose MAX </t>
  </si>
  <si>
    <t>Viande (g) à retirer</t>
  </si>
  <si>
    <t>HUILE PREDICTIF (g)</t>
  </si>
  <si>
    <t>en g et kcal</t>
  </si>
  <si>
    <t>Equivalent en g d'huile  |  Calcul (g) final avec plafond</t>
  </si>
  <si>
    <t>HUILE EN MODE "MANUEL"</t>
  </si>
  <si>
    <t>g huile</t>
  </si>
  <si>
    <t>% kcal / BE</t>
  </si>
  <si>
    <t>% kcal visé</t>
  </si>
  <si>
    <t>kcal huile</t>
  </si>
  <si>
    <t>INFORMATIONS</t>
  </si>
  <si>
    <t>Ca/P (min 1 fixe)</t>
  </si>
  <si>
    <t>Ca g/Mcal BEE TOLERANCE BASSE</t>
  </si>
  <si>
    <t>Ca g/Mcal BEE CIBLE</t>
  </si>
  <si>
    <t>Ca g/Mcal BEE LIMITE HAUTE</t>
  </si>
  <si>
    <t>Ca g/Mcal BEE LIMITE BASSE</t>
  </si>
  <si>
    <t>SYSTÈME ANTI DEPASSEMENT MIN/MAX</t>
  </si>
  <si>
    <t>Yaourt nature</t>
  </si>
  <si>
    <t>et qtt de yaourt</t>
  </si>
  <si>
    <t>2ème viande</t>
  </si>
  <si>
    <t>Proportion (%)</t>
  </si>
  <si>
    <t>Viande #1</t>
  </si>
  <si>
    <t>Viande #2</t>
  </si>
  <si>
    <t>Viande "virtuelle"</t>
  </si>
  <si>
    <t>VIANDE_VIRTUELLE</t>
  </si>
  <si>
    <t>Viande virtuelle (g) calculée</t>
  </si>
  <si>
    <t>Viande #1 (g)</t>
  </si>
  <si>
    <t>FLAG DECALAGE RECETTE</t>
  </si>
  <si>
    <t>Viande #2 (g)</t>
  </si>
  <si>
    <t>Poids TOTAL arrondi</t>
  </si>
  <si>
    <t>Quantité (%)</t>
  </si>
  <si>
    <t>Kcal</t>
  </si>
  <si>
    <t>CALCULS DES CONSTITUANTS ANALYTIQUES DU MIXTE VIANDE</t>
  </si>
  <si>
    <t>AFFICHAGE LIGNES RECETTE</t>
  </si>
  <si>
    <t>Options</t>
  </si>
  <si>
    <t>* vide *</t>
  </si>
  <si>
    <t>VIANDE +</t>
  </si>
  <si>
    <t>&lt; vide &gt;</t>
  </si>
  <si>
    <t>Viande virtuelle (g)</t>
  </si>
  <si>
    <t>GESTION COEF HUILE</t>
  </si>
  <si>
    <t>SP</t>
  </si>
  <si>
    <t>ECP</t>
  </si>
  <si>
    <t>RAW</t>
  </si>
  <si>
    <t>Prise en compte VDS 1</t>
  </si>
  <si>
    <t>Prise en compte VDS 2</t>
  </si>
  <si>
    <t>FLAG I15</t>
  </si>
  <si>
    <t>FLAG I15 = I11</t>
  </si>
  <si>
    <t>TOTAL FLAG</t>
  </si>
  <si>
    <t xml:space="preserve"> estimation</t>
  </si>
  <si>
    <t xml:space="preserve">   données calnut</t>
  </si>
  <si>
    <t>1/2 DOSE</t>
  </si>
  <si>
    <t>1/4 DOSE</t>
  </si>
  <si>
    <t>Condi</t>
  </si>
  <si>
    <t>Nbr Unités</t>
  </si>
  <si>
    <t>Dose STD (0) ou MIN (1)</t>
  </si>
  <si>
    <t>FLAG CMV VIANDE 1</t>
  </si>
  <si>
    <t>FLAG CMV VIANDE 2</t>
  </si>
  <si>
    <t>FLAG CMV FINAL</t>
  </si>
  <si>
    <t>% SI COEF VIANDE = 0</t>
  </si>
  <si>
    <t>MODE</t>
  </si>
  <si>
    <t>PLANCHER LEGUMES</t>
  </si>
  <si>
    <t>% minimum</t>
  </si>
  <si>
    <t>Légumes % maximum</t>
  </si>
  <si>
    <t>Légumes % minimum</t>
  </si>
  <si>
    <t>Oeuf(s) de caille</t>
  </si>
  <si>
    <t>1 œuf entier</t>
  </si>
  <si>
    <t>2 œufs entiers</t>
  </si>
  <si>
    <t>3 œufs entiers</t>
  </si>
  <si>
    <t>4 œufs entiers</t>
  </si>
  <si>
    <t>Porc, filet maigre - CRU</t>
  </si>
  <si>
    <t>Porc, filet maigre - BIEN CUIT</t>
  </si>
  <si>
    <t>Poulet, viande de cuisse - CRUE</t>
  </si>
  <si>
    <t>Poulet, viande de cuisse - CUITE</t>
  </si>
  <si>
    <t>Cuisse à désosser entièrement</t>
  </si>
  <si>
    <t>Œuf de poule, entier - BIEN CUIT</t>
  </si>
  <si>
    <t>Œuf de poule, blanc - BIEN CUIT</t>
  </si>
  <si>
    <t>Poulet, filet sans peau - CRU</t>
  </si>
  <si>
    <t>Poulet, filet sans peau - CUIT</t>
  </si>
  <si>
    <t>yaourt type fromage blanc</t>
  </si>
  <si>
    <t>yaourt au lait entier avec crème</t>
  </si>
  <si>
    <t>yaourt au lait entier de chèvre</t>
  </si>
  <si>
    <t>yaourt au lait de brebis</t>
  </si>
  <si>
    <t>yaourt au lait de chèvre 0%</t>
  </si>
  <si>
    <t>2 œufs de caille entiers</t>
  </si>
  <si>
    <t>1 œuf de caille entier</t>
  </si>
  <si>
    <t>3 œufs de caille entiers</t>
  </si>
  <si>
    <t>4 œufs de caille entiers</t>
  </si>
  <si>
    <t>Lait entier chèvre</t>
  </si>
  <si>
    <t>Felini complete</t>
  </si>
  <si>
    <t>Felini renal</t>
  </si>
  <si>
    <t>SCORE</t>
  </si>
  <si>
    <t>NOS PETITS CONSEILS</t>
  </si>
  <si>
    <t>A alterner avec de l'huile de poisson</t>
  </si>
  <si>
    <t>Peut être utilisée tous les jours</t>
  </si>
  <si>
    <t>BE</t>
  </si>
  <si>
    <t>SEUIL kcal</t>
  </si>
  <si>
    <t xml:space="preserve">   1 = 2g (par défaut)</t>
  </si>
  <si>
    <t xml:space="preserve">   0 = 5g</t>
  </si>
  <si>
    <t>GESTION DES ARRONDIS 2/5/10 GRAMMES EN FONCTION DU BE</t>
  </si>
  <si>
    <t>Emplacement et description</t>
  </si>
  <si>
    <t>Sans arrondi</t>
  </si>
  <si>
    <t>Arrondi Flag 1</t>
  </si>
  <si>
    <t>Arrondi Flag 2</t>
  </si>
  <si>
    <t>Arrondi FINAL</t>
  </si>
  <si>
    <t>[W25] féculent final</t>
  </si>
  <si>
    <t>[AO84] légume final</t>
  </si>
  <si>
    <t>[AZ16] viande #1 finale</t>
  </si>
  <si>
    <t>[AZ17] viande #2 finale</t>
  </si>
  <si>
    <t>ARRONDI</t>
  </si>
  <si>
    <t>[ATTENTION] arrondi si g/kg = 0</t>
  </si>
  <si>
    <t>SEUILS ALERTE COMPOSITION ANALYTIQUE</t>
  </si>
  <si>
    <t>AJUSTEMENTS AUTOMATIQUES DE L'HUILE MODE "RAW"</t>
  </si>
  <si>
    <t>Kcal supplémentaires</t>
  </si>
  <si>
    <t>Almo nature</t>
  </si>
  <si>
    <t>de Almo Nature "blanc de poulet"</t>
  </si>
  <si>
    <t>de Almo Nature "poulet fromage"</t>
  </si>
  <si>
    <t>de Almo Nature "poulet thon"</t>
  </si>
  <si>
    <t>de Almo Nature "saumon"</t>
  </si>
  <si>
    <t>de Almo Nature "thon poulet fromage"</t>
  </si>
  <si>
    <t>de Almo Nature "thon alevins et sardine"</t>
  </si>
  <si>
    <t>de Almo Nature "poulet crevettes"</t>
  </si>
  <si>
    <t>de Almo Nature "cuisse de poulet"</t>
  </si>
  <si>
    <t>de Almo Nature "saumon poulet"</t>
  </si>
  <si>
    <t>de Almo Nature "truite thon"</t>
  </si>
  <si>
    <t>de Almo Nature "saumon carottes"</t>
  </si>
  <si>
    <t>de Almo Nature "assortiment mer"</t>
  </si>
  <si>
    <t>de Almo Nature "kitten poulet"</t>
  </si>
  <si>
    <t>de Almo Nature "poulet foie"</t>
  </si>
  <si>
    <t>AIDE VIANDES #2</t>
  </si>
  <si>
    <t>#2 si &lt;&gt; #1</t>
  </si>
  <si>
    <t>Applaws - blanc de poulet potiron</t>
  </si>
  <si>
    <t>Applaws - blanc de poulet asperges</t>
  </si>
  <si>
    <t>Applaws - blanc de poulet autruche</t>
  </si>
  <si>
    <t>Applaws - filet de poulet canard</t>
  </si>
  <si>
    <t>Applaws - sardine maquereau</t>
  </si>
  <si>
    <t>Applaws - poulet riz</t>
  </si>
  <si>
    <t>Applaws - poulet œuf de thon</t>
  </si>
  <si>
    <t>Applaws - filet de thon anchois</t>
  </si>
  <si>
    <t>Almo - blanc de poulet</t>
  </si>
  <si>
    <t>Almo - poulet fromage</t>
  </si>
  <si>
    <t>Almo - poulet thon</t>
  </si>
  <si>
    <t>Almo - saumon</t>
  </si>
  <si>
    <t>Almo - thon poulet fromage</t>
  </si>
  <si>
    <t>Almo - thon alevins et sardine</t>
  </si>
  <si>
    <t>Almo - poulet crevettes</t>
  </si>
  <si>
    <t>Almo - cuisse de poulet</t>
  </si>
  <si>
    <t>Almo - saumon poulet</t>
  </si>
  <si>
    <t>Almo - truite thon</t>
  </si>
  <si>
    <t>Almo - saumon carottes</t>
  </si>
  <si>
    <t>Almo - assortiment mer</t>
  </si>
  <si>
    <t>Almo - kitten poulet</t>
  </si>
  <si>
    <t>Almo - poulet foie</t>
  </si>
  <si>
    <t>de Applaws "filet de thon anchois entiers"</t>
  </si>
  <si>
    <t>de Applaws "filet de thon crevettes "</t>
  </si>
  <si>
    <t>de Applaws "blanc de poulet potiron"</t>
  </si>
  <si>
    <t>de Applaws "blanc de poulet asperges"</t>
  </si>
  <si>
    <t>de Applaws "blanc de poulet autruche"</t>
  </si>
  <si>
    <t>de Applaws "filet de poulet canard"</t>
  </si>
  <si>
    <t>de Applaws "sardine maquereau"</t>
  </si>
  <si>
    <t>de Applaws "poulet riz"</t>
  </si>
  <si>
    <t>de Applaws "poulet œuf de thon"</t>
  </si>
  <si>
    <t>Applaws selection</t>
  </si>
  <si>
    <t>Applaws cat pots</t>
  </si>
  <si>
    <t>Cosma - poulet foie de poulet</t>
  </si>
  <si>
    <t>Applaws - filet de thon crevettes</t>
  </si>
  <si>
    <t>de Cosma "poulet foie de poulet"</t>
  </si>
  <si>
    <t xml:space="preserve">Cosma thaï en sachet </t>
  </si>
  <si>
    <t>Hermann's - bœuf bio</t>
  </si>
  <si>
    <t>Hermann's - cheval</t>
  </si>
  <si>
    <t>Schesir - thon bar</t>
  </si>
  <si>
    <t>Schesir - filet de poulet bar</t>
  </si>
  <si>
    <t>de Hermann's "bœuf bio"</t>
  </si>
  <si>
    <t>de Hermann's "cheval"</t>
  </si>
  <si>
    <t>de Schesir "thon bar"</t>
  </si>
  <si>
    <t>de Schesir "filet de poulet bar"</t>
  </si>
  <si>
    <t>Hermann's pur viande</t>
  </si>
  <si>
    <t>Schesir en pochon</t>
  </si>
  <si>
    <t>Sofcanis adu./croiss. comprimé</t>
  </si>
  <si>
    <t>Sofcanis adu./croiss. poudre</t>
  </si>
  <si>
    <t>K sanitaire *2 alerte huile</t>
  </si>
  <si>
    <r>
      <t xml:space="preserve">Le </t>
    </r>
    <r>
      <rPr>
        <b/>
        <sz val="10.5"/>
        <color indexed="8"/>
        <rFont val="Gill Sans MT"/>
        <family val="2"/>
      </rPr>
      <t>poids idéal</t>
    </r>
    <r>
      <rPr>
        <sz val="10.5"/>
        <color indexed="8"/>
        <rFont val="Gill Sans MT"/>
        <family val="2"/>
      </rPr>
      <t xml:space="preserve"> correspond au poids de forme de votre chat
Pour un </t>
    </r>
    <r>
      <rPr>
        <b/>
        <sz val="10.5"/>
        <color indexed="8"/>
        <rFont val="Gill Sans MT"/>
        <family val="2"/>
      </rPr>
      <t>chaton</t>
    </r>
    <r>
      <rPr>
        <sz val="10.5"/>
        <color indexed="8"/>
        <rFont val="Gill Sans MT"/>
        <family val="2"/>
      </rPr>
      <t>, ne surtout pas mettre le poids adulte !</t>
    </r>
  </si>
  <si>
    <t>Kyli Poudre de vimin</t>
  </si>
  <si>
    <t>Disponible en Suisse</t>
  </si>
  <si>
    <t>Levure de bière +</t>
  </si>
  <si>
    <t>Format (singulier)</t>
  </si>
  <si>
    <t>Format (pluriel)</t>
  </si>
  <si>
    <t>Mode de calcul</t>
  </si>
  <si>
    <t>comprimé</t>
  </si>
  <si>
    <t>comprimés</t>
  </si>
  <si>
    <t>cuillère doseuse</t>
  </si>
  <si>
    <t>cuillères doseuses</t>
  </si>
  <si>
    <t>dose</t>
  </si>
  <si>
    <t>doses</t>
  </si>
  <si>
    <t>Dose (g)</t>
  </si>
  <si>
    <t>Endive - CUITE</t>
  </si>
  <si>
    <t>d'endive cuite</t>
  </si>
  <si>
    <t>rpc</t>
  </si>
  <si>
    <t>MANUELLE (code requis)</t>
  </si>
  <si>
    <t>Expert uniquement</t>
  </si>
  <si>
    <t>CODE MANUEL</t>
  </si>
  <si>
    <t>Nutrimix</t>
  </si>
  <si>
    <t>Disponible en Belgique</t>
  </si>
  <si>
    <t>Certaines valeurs nutritionnelles sont proches des limites recommandées</t>
  </si>
  <si>
    <t>Certaines valeurs nutritionnelles dépassent les limites recommandées</t>
  </si>
  <si>
    <t>Dinde, viande de cuisse - CRUE</t>
  </si>
  <si>
    <t>de viande de cuisse de dinde crue</t>
  </si>
  <si>
    <t>Dinde, viande de cuisse - CUITE</t>
  </si>
  <si>
    <t>de viande de cuisse de dinde cuite</t>
  </si>
  <si>
    <t>1. Determination du besoin énergétique</t>
  </si>
  <si>
    <t>2. Elaboration du menu</t>
  </si>
  <si>
    <t>3. Recette de ration ménagère</t>
  </si>
  <si>
    <t>Le top du top des CMV !</t>
  </si>
  <si>
    <t>Miaoouuuu miaoouuuu</t>
  </si>
  <si>
    <t>TYPE DE FORMULE STANDARD/MIXTE</t>
  </si>
  <si>
    <t>100% ration ménagère</t>
  </si>
  <si>
    <t>Un excellent choix</t>
  </si>
  <si>
    <t>Vit'i5 Rouge conseillé</t>
  </si>
  <si>
    <t>Facteur MODE MIXTE</t>
  </si>
  <si>
    <t>Facteur VIT'I5 ROUGE</t>
  </si>
  <si>
    <t>Facteur cumulé</t>
  </si>
  <si>
    <t>Message de conseil</t>
  </si>
  <si>
    <t>Activation</t>
  </si>
  <si>
    <t>En menu 50% RM uniquement</t>
  </si>
  <si>
    <t>MIXTE</t>
  </si>
  <si>
    <t>50% RM / 50% croquettes</t>
  </si>
  <si>
    <t>Pas d'accès à l'extérieur</t>
  </si>
  <si>
    <t>MISE A JOUR</t>
  </si>
  <si>
    <t>de bœuf en steak haché (10% MG) cru</t>
  </si>
  <si>
    <t>de bœuf en steak haché (10% MG) cuit</t>
  </si>
  <si>
    <t>Une gamelle au top</t>
  </si>
  <si>
    <t>https://www.unegamelleautop.fr/</t>
  </si>
  <si>
    <t>Vit'i5 Orange (pot 600g)</t>
  </si>
  <si>
    <t>Vit'i5 Orange (pot 250g)</t>
  </si>
  <si>
    <t>Vit'i5 Bleu (pot 600g pour chat agé)</t>
  </si>
  <si>
    <t>Vit'i5 Rouge (pot 600g pour ration mixte)</t>
  </si>
  <si>
    <t>Vit'i5 Bleu (pot 250g pour chat agé)</t>
  </si>
  <si>
    <t>Vit'i5 Rouge (pot 250g pour ration mixte)</t>
  </si>
  <si>
    <r>
      <rPr>
        <b/>
        <sz val="12"/>
        <color indexed="8"/>
        <rFont val="Gill Sans MT"/>
        <family val="2"/>
      </rPr>
      <t>Antinéa Ecrepont</t>
    </r>
    <r>
      <rPr>
        <sz val="12"/>
        <color indexed="8"/>
        <rFont val="Gill Sans MT"/>
        <family val="2"/>
      </rPr>
      <t xml:space="preserve"> - Docteur en médecine vétérinaire</t>
    </r>
  </si>
  <si>
    <r>
      <rPr>
        <b/>
        <sz val="12"/>
        <color indexed="8"/>
        <rFont val="Gill Sans MT"/>
        <family val="2"/>
      </rPr>
      <t>Charlotte Gnaedinger</t>
    </r>
    <r>
      <rPr>
        <sz val="12"/>
        <color indexed="8"/>
        <rFont val="Gill Sans MT"/>
        <family val="2"/>
      </rPr>
      <t xml:space="preserve"> - Ingénieure Agronome spécialisée en nutrition animale</t>
    </r>
  </si>
  <si>
    <r>
      <rPr>
        <b/>
        <sz val="12"/>
        <color indexed="8"/>
        <rFont val="Gill Sans MT"/>
        <family val="2"/>
      </rPr>
      <t>Damien Dehon</t>
    </r>
    <r>
      <rPr>
        <sz val="12"/>
        <color indexed="8"/>
        <rFont val="Gill Sans MT"/>
        <family val="2"/>
      </rPr>
      <t xml:space="preserve"> - Consultant avec double cursus en biologie et informatique</t>
    </r>
  </si>
  <si>
    <t>L'alternative au Vit'i5</t>
  </si>
  <si>
    <t>cuillère rase sans tasser</t>
  </si>
  <si>
    <t>cuillères rases sans tasser</t>
  </si>
  <si>
    <t>LEGS</t>
  </si>
  <si>
    <t>v4.05b</t>
  </si>
  <si>
    <t>d'épaule de porc bien cuite</t>
  </si>
  <si>
    <t>de longe de porc crue</t>
  </si>
  <si>
    <t>de longe de porc bien cuite</t>
  </si>
  <si>
    <t>Mode de ration</t>
  </si>
  <si>
    <t>Facteur kcal</t>
  </si>
  <si>
    <t>SEUIL 50/50</t>
  </si>
  <si>
    <t>MOYENNE AUTO</t>
  </si>
  <si>
    <t>Potimarron - CUIT</t>
  </si>
  <si>
    <t>de potimarron cuit</t>
  </si>
  <si>
    <t>de filet de lieu noir cuit</t>
  </si>
  <si>
    <t>Filet de mulet - CUIT</t>
  </si>
  <si>
    <t>de filet de mulet cuit</t>
  </si>
  <si>
    <t>Filet de maquereau - CUIT</t>
  </si>
  <si>
    <t>de filet de maquereau cuit</t>
  </si>
  <si>
    <t>Ca (max reco)</t>
  </si>
  <si>
    <t>P (max reco)</t>
  </si>
  <si>
    <t>% Ca (max reco)</t>
  </si>
  <si>
    <t>% P (max reco)</t>
  </si>
  <si>
    <t>% P (max)</t>
  </si>
  <si>
    <t>Base de données nutritionnelle</t>
  </si>
  <si>
    <t>CIQUAL 2020</t>
  </si>
  <si>
    <t>UNE GAMELLE AU TOP</t>
  </si>
  <si>
    <t>STRICTEMENT INTERDITE</t>
  </si>
  <si>
    <t>SOUS PEINE DE POURSUITES</t>
  </si>
  <si>
    <t>LOCK ACTIVITE</t>
  </si>
  <si>
    <t>LOCK ACTIVITE CHATON</t>
  </si>
  <si>
    <t>0 = pas de lock</t>
  </si>
  <si>
    <t>1 = lock activité normale</t>
  </si>
  <si>
    <t>POIDS</t>
  </si>
  <si>
    <t>RACE</t>
  </si>
  <si>
    <t>ACTIVITE</t>
  </si>
  <si>
    <t>STERILISATION</t>
  </si>
  <si>
    <t>ETAT CORPOREL</t>
  </si>
  <si>
    <t>LIEU DE VIE</t>
  </si>
  <si>
    <t>FORMULE</t>
  </si>
  <si>
    <t>STANDARD (avec féculent)</t>
  </si>
  <si>
    <t>PRO RAW (sans féculent)</t>
  </si>
  <si>
    <t>Formule économique</t>
  </si>
  <si>
    <t>Porc, longe - CRUE</t>
  </si>
  <si>
    <t>Porc, longe - CUITE</t>
  </si>
  <si>
    <t>SEUIL PRE-ALERTE FIBRE</t>
  </si>
  <si>
    <r>
      <t xml:space="preserve">Pas de panique ! 
Toutes les données demandées concernent 
</t>
    </r>
    <r>
      <rPr>
        <b/>
        <sz val="11"/>
        <color indexed="8"/>
        <rFont val="Gill Sans MT"/>
        <family val="2"/>
      </rPr>
      <t>VOTRE CHAT</t>
    </r>
    <r>
      <rPr>
        <sz val="11"/>
        <color indexed="8"/>
        <rFont val="Gill Sans MT"/>
        <family val="2"/>
      </rPr>
      <t xml:space="preserve"> que vous connaissez bien</t>
    </r>
  </si>
  <si>
    <t>Les concepteurs</t>
  </si>
  <si>
    <t>Cet outil a été imaginé et conçu initialement par :</t>
  </si>
  <si>
    <t>Responsable de la maintenance, des évolutions et de l'hébergement :</t>
  </si>
  <si>
    <r>
      <rPr>
        <b/>
        <sz val="12"/>
        <color indexed="8"/>
        <rFont val="Gill Sans MT"/>
        <family val="2"/>
      </rPr>
      <t>Damien Dehon</t>
    </r>
    <r>
      <rPr>
        <sz val="12"/>
        <color indexed="8"/>
        <rFont val="Gill Sans MT"/>
        <family val="2"/>
      </rPr>
      <t xml:space="preserve"> - damien@unegamelleautop.fr</t>
    </r>
  </si>
  <si>
    <t>www.unegamelleautop.fr</t>
  </si>
  <si>
    <t>Accès à l'extérieur (&gt; 12h)</t>
  </si>
  <si>
    <t>Accès limité à l'extérieur (&lt; 12h)</t>
  </si>
  <si>
    <t>AGEPI</t>
  </si>
  <si>
    <t>grammes (fixe depuis v6.00)</t>
  </si>
  <si>
    <t>CaC</t>
  </si>
  <si>
    <t>fixe v6.00</t>
  </si>
  <si>
    <t>(seuil min Ca + cible Ca/Mcal BEE *2 ) / 3</t>
  </si>
  <si>
    <t>Agneau, épaule maigre - CRUE</t>
  </si>
  <si>
    <t>de viande maigre d'agneau crue</t>
  </si>
  <si>
    <t>Agneau, épaule maigre - CUITE</t>
  </si>
  <si>
    <t>de viande maigre d'agneau cuite</t>
  </si>
  <si>
    <t>Pavé de cabillaud - CUIT</t>
  </si>
  <si>
    <t>Pavé de colin - CUIT</t>
  </si>
  <si>
    <t>Pavé de saumon - CUIT</t>
  </si>
  <si>
    <t>Filet de lieu noir - CUIT</t>
  </si>
  <si>
    <t>Joëls entier - CRU</t>
  </si>
  <si>
    <t>de joëls entiers et crus</t>
  </si>
  <si>
    <t>Viandes</t>
  </si>
  <si>
    <t>Aubergine - CUITE</t>
  </si>
  <si>
    <t>ESTIMATION</t>
  </si>
  <si>
    <t>Actif</t>
  </si>
  <si>
    <t>Ca/P &lt; 1</t>
  </si>
  <si>
    <t>La quantité de CMV ne peut pas être calculée par l'outil dans ce cas de figure</t>
  </si>
  <si>
    <t>d'aubergine cuite</t>
  </si>
  <si>
    <t>A faire bien bien cuire</t>
  </si>
  <si>
    <t>Boeuf, faux-filet - CRU</t>
  </si>
  <si>
    <t>Boeuf, faux-filet - CUIT</t>
  </si>
  <si>
    <t>Boeuf, rumsteck - CRU</t>
  </si>
  <si>
    <t>Boeuf, rumsteck - CUIT</t>
  </si>
  <si>
    <t>Boeuf, steak haché 5% MG - CRU</t>
  </si>
  <si>
    <t>Boeuf, steak haché 5% MG - CUIT</t>
  </si>
  <si>
    <t>Boeuf, steak haché 10% MG - CRU</t>
  </si>
  <si>
    <t>Boeuf, steak haché 10% MG - CUIT</t>
  </si>
  <si>
    <t>Boeuf, steak haché 15% MG - CRU</t>
  </si>
  <si>
    <t>Boeuf, steak haché 15% MG - CUIT</t>
  </si>
  <si>
    <r>
      <rPr>
        <sz val="24"/>
        <color indexed="9"/>
        <rFont val="Gill Sans MT"/>
        <family val="2"/>
      </rPr>
      <t>Calculateur de ration ménagère (rm) pour Chat</t>
    </r>
    <r>
      <rPr>
        <sz val="8"/>
        <color indexed="9"/>
        <rFont val="Gill Sans MT"/>
        <family val="2"/>
      </rPr>
      <t xml:space="preserve">
</t>
    </r>
    <r>
      <rPr>
        <sz val="9"/>
        <color indexed="9"/>
        <rFont val="Gill Sans MT"/>
        <family val="2"/>
      </rPr>
      <t>Version 6.04 24/03/2025</t>
    </r>
  </si>
  <si>
    <t>Par le CMV à la dose optimisée (mg)</t>
  </si>
  <si>
    <t>Par les ingrédients (mg)</t>
  </si>
  <si>
    <t>Total (mg)</t>
  </si>
  <si>
    <t>Calcium</t>
  </si>
  <si>
    <t>Phosphore</t>
  </si>
  <si>
    <t>Ajustement</t>
  </si>
  <si>
    <r>
      <t xml:space="preserve">Correction automatique des féculents, en mode ECO, pour avoir </t>
    </r>
    <r>
      <rPr>
        <sz val="11"/>
        <color theme="0"/>
        <rFont val="Calibri"/>
        <family val="2"/>
      </rPr>
      <t>XX</t>
    </r>
    <r>
      <rPr>
        <sz val="11"/>
        <color theme="0"/>
        <rFont val="Calibri"/>
        <family val="2"/>
        <scheme val="minor"/>
      </rPr>
      <t xml:space="preserve"> % de glucides sur MS</t>
    </r>
  </si>
  <si>
    <r>
      <t xml:space="preserve">Correction automatique des huiles, en mode ECO, pour avoir </t>
    </r>
    <r>
      <rPr>
        <sz val="11"/>
        <color theme="0"/>
        <rFont val="Calibri"/>
        <family val="2"/>
      </rPr>
      <t>XX</t>
    </r>
    <r>
      <rPr>
        <sz val="11"/>
        <color theme="0"/>
        <rFont val="Calibri"/>
        <family val="2"/>
        <scheme val="minor"/>
      </rPr>
      <t xml:space="preserve"> % de lipides sur MS</t>
    </r>
  </si>
  <si>
    <r>
      <t xml:space="preserve">Correction automatique des viandes, en mode ECO, pour avoir </t>
    </r>
    <r>
      <rPr>
        <sz val="11"/>
        <color theme="0"/>
        <rFont val="Calibri"/>
        <family val="2"/>
      </rPr>
      <t>les kcal nécessaires sans utiliser d'options</t>
    </r>
  </si>
  <si>
    <r>
      <t xml:space="preserve">Blocage de la quantité d'huile à </t>
    </r>
    <r>
      <rPr>
        <sz val="11"/>
        <color theme="0"/>
        <rFont val="Calibri"/>
        <family val="2"/>
      </rPr>
      <t>XX</t>
    </r>
    <r>
      <rPr>
        <sz val="11"/>
        <color theme="0"/>
        <rFont val="Calibri"/>
        <family val="2"/>
        <scheme val="minor"/>
      </rPr>
      <t xml:space="preserve"> % des apports en kcal</t>
    </r>
  </si>
  <si>
    <r>
      <t xml:space="preserve">Boost automatique des huiles, en mode RAW, pour avoir </t>
    </r>
    <r>
      <rPr>
        <sz val="11"/>
        <color theme="0"/>
        <rFont val="Calibri"/>
        <family val="2"/>
      </rPr>
      <t>XX</t>
    </r>
    <r>
      <rPr>
        <sz val="11"/>
        <color theme="0"/>
        <rFont val="Calibri"/>
        <family val="2"/>
        <scheme val="minor"/>
      </rPr>
      <t xml:space="preserve"> % de lipides sur MS</t>
    </r>
  </si>
  <si>
    <r>
      <t xml:space="preserve">Plafond maximum en </t>
    </r>
    <r>
      <rPr>
        <sz val="11"/>
        <color theme="0"/>
        <rFont val="Calibri"/>
        <family val="2"/>
      </rPr>
      <t>XX</t>
    </r>
    <r>
      <rPr>
        <sz val="11"/>
        <color theme="0"/>
        <rFont val="Calibri"/>
        <family val="2"/>
        <scheme val="minor"/>
      </rPr>
      <t xml:space="preserve"> % de BE de la part des légumes dans la ration</t>
    </r>
  </si>
  <si>
    <r>
      <t>Gestion des arrondis en 2/5 grammes suivant le</t>
    </r>
    <r>
      <rPr>
        <sz val="11"/>
        <color theme="0"/>
        <rFont val="Calibri"/>
        <family val="2"/>
      </rPr>
      <t xml:space="preserve"> BE</t>
    </r>
  </si>
  <si>
    <r>
      <t xml:space="preserve">(not use)  |  </t>
    </r>
    <r>
      <rPr>
        <sz val="11"/>
        <color theme="0"/>
        <rFont val="Calibri"/>
        <family val="2"/>
      </rPr>
      <t>BE "brut"</t>
    </r>
  </si>
  <si>
    <r>
      <t xml:space="preserve">BEE   | </t>
    </r>
    <r>
      <rPr>
        <sz val="11"/>
        <color theme="0"/>
        <rFont val="Calibri"/>
        <family val="2"/>
      </rPr>
      <t xml:space="preserve"> BE (minimum 50% du BEE)</t>
    </r>
  </si>
  <si>
    <r>
      <t xml:space="preserve">Kcal options  | </t>
    </r>
    <r>
      <rPr>
        <sz val="11"/>
        <color theme="0"/>
        <rFont val="Calibri"/>
        <family val="2"/>
      </rPr>
      <t xml:space="preserve"> Facteur K</t>
    </r>
  </si>
  <si>
    <r>
      <t>Qtt Protéines</t>
    </r>
    <r>
      <rPr>
        <sz val="11"/>
        <color theme="0"/>
        <rFont val="Calibri"/>
        <family val="2"/>
      </rPr>
      <t xml:space="preserve"> </t>
    </r>
    <r>
      <rPr>
        <b/>
        <sz val="11"/>
        <color theme="0"/>
        <rFont val="Calibri"/>
        <family val="2"/>
      </rPr>
      <t>cible</t>
    </r>
    <r>
      <rPr>
        <sz val="11"/>
        <color theme="0"/>
        <rFont val="Calibri"/>
        <family val="2"/>
      </rPr>
      <t xml:space="preserve"> (g/kg) | grammes</t>
    </r>
  </si>
  <si>
    <r>
      <t xml:space="preserve">Qtt Protéines </t>
    </r>
    <r>
      <rPr>
        <b/>
        <sz val="11"/>
        <color theme="0"/>
        <rFont val="Calibri"/>
        <family val="2"/>
      </rPr>
      <t>minimum</t>
    </r>
    <r>
      <rPr>
        <sz val="11"/>
        <color theme="0"/>
        <rFont val="Calibri"/>
        <family val="2"/>
      </rPr>
      <t xml:space="preserve"> (g/kg) | grammes</t>
    </r>
  </si>
  <si>
    <r>
      <t xml:space="preserve">Qtt Protéines </t>
    </r>
    <r>
      <rPr>
        <b/>
        <sz val="11"/>
        <color theme="0"/>
        <rFont val="Calibri"/>
        <family val="2"/>
      </rPr>
      <t>absolue</t>
    </r>
    <r>
      <rPr>
        <sz val="11"/>
        <color theme="0"/>
        <rFont val="Calibri"/>
        <family val="2"/>
      </rPr>
      <t xml:space="preserve"> (g/kg) | grammes</t>
    </r>
  </si>
  <si>
    <r>
      <t xml:space="preserve">% MS lipides cible si </t>
    </r>
    <r>
      <rPr>
        <sz val="11"/>
        <color theme="0"/>
        <rFont val="Calibri"/>
        <family val="2"/>
      </rPr>
      <t>REGUL</t>
    </r>
  </si>
  <si>
    <r>
      <t xml:space="preserve">% MS glucides cible si </t>
    </r>
    <r>
      <rPr>
        <sz val="11"/>
        <color theme="0"/>
        <rFont val="Calibri"/>
        <family val="2"/>
      </rPr>
      <t>REGUL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</si>
</sst>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9" formatCode="0.0000"/>
    <numFmt numFmtId="180" formatCode="0.00000"/>
  </numFmts>
  <fonts count="70">
    <font>
      <sz val="11"/>
      <color theme="1"/>
      <name val="Calibri"/>
      <family val="2"/>
      <scheme val="minor"/>
    </font>
    <font>
      <sz val="12"/>
      <name val="Gill Sans MT"/>
      <family val="2"/>
    </font>
    <font>
      <b/>
      <sz val="12"/>
      <name val="Gill Sans MT"/>
      <family val="2"/>
    </font>
    <font>
      <b/>
      <sz val="20"/>
      <name val="Gill Sans MT"/>
      <family val="2"/>
    </font>
    <font>
      <sz val="20"/>
      <name val="Gill Sans MT"/>
      <family val="2"/>
    </font>
    <font>
      <b/>
      <sz val="13"/>
      <name val="Gill Sans MT"/>
      <family val="2"/>
    </font>
    <font>
      <b/>
      <sz val="10.5"/>
      <color indexed="8"/>
      <name val="Gill Sans MT"/>
      <family val="2"/>
    </font>
    <font>
      <sz val="10.5"/>
      <color indexed="8"/>
      <name val="Gill Sans MT"/>
      <family val="2"/>
    </font>
    <font>
      <sz val="8"/>
      <color indexed="9"/>
      <name val="Gill Sans MT"/>
      <family val="2"/>
    </font>
    <font>
      <sz val="24"/>
      <color indexed="9"/>
      <name val="Gill Sans MT"/>
      <family val="2"/>
    </font>
    <font>
      <sz val="9"/>
      <color indexed="9"/>
      <name val="Gill Sans MT"/>
      <family val="2"/>
    </font>
    <font>
      <sz val="12"/>
      <color indexed="8"/>
      <name val="Gill Sans MT"/>
      <family val="2"/>
    </font>
    <font>
      <b/>
      <sz val="12"/>
      <color indexed="8"/>
      <name val="Gill Sans MT"/>
      <family val="2"/>
    </font>
    <font>
      <sz val="20"/>
      <color indexed="9"/>
      <name val="Gill Sans MT"/>
      <family val="2"/>
    </font>
    <font>
      <sz val="11"/>
      <color indexed="8"/>
      <name val="Gill Sans MT"/>
      <family val="2"/>
    </font>
    <font>
      <b/>
      <sz val="11"/>
      <color indexed="8"/>
      <name val="Gill Sans MT"/>
      <family val="2"/>
    </font>
    <font>
      <sz val="11"/>
      <color theme="0"/>
      <name val="Calibri"/>
      <family val="2"/>
      <scheme val="minor"/>
    </font>
    <font>
      <u/>
      <sz val="11"/>
      <color theme="10"/>
      <name val="Calibri"/>
      <family val="2"/>
      <scheme val="minor"/>
    </font>
    <font>
      <sz val="20"/>
      <color theme="1"/>
      <name val="Gill Sans"/>
    </font>
    <font>
      <b/>
      <sz val="11"/>
      <color theme="0"/>
      <name val="Calibri"/>
      <family val="2"/>
      <scheme val="minor"/>
    </font>
    <font>
      <b/>
      <sz val="11"/>
      <color rgb="FFFF0000"/>
      <name val="Calibri"/>
      <family val="2"/>
      <scheme val="minor"/>
    </font>
    <font>
      <sz val="12"/>
      <color theme="1"/>
      <name val="Calibri"/>
      <family val="2"/>
      <scheme val="minor"/>
    </font>
    <font>
      <sz val="12"/>
      <color theme="1"/>
      <name val="Gill Sans MT"/>
      <family val="2"/>
    </font>
    <font>
      <sz val="12"/>
      <color theme="0"/>
      <name val="Gill Sans MT"/>
      <family val="2"/>
    </font>
    <font>
      <sz val="11"/>
      <color theme="1"/>
      <name val="Gill Sans MT"/>
      <family val="2"/>
    </font>
    <font>
      <b/>
      <sz val="11"/>
      <color theme="1"/>
      <name val="Gill Sans MT"/>
      <family val="2"/>
    </font>
    <font>
      <sz val="11"/>
      <color theme="0"/>
      <name val="Gill Sans MT"/>
      <family val="2"/>
    </font>
    <font>
      <b/>
      <sz val="11"/>
      <color theme="0"/>
      <name val="Gill Sans MT"/>
      <family val="2"/>
    </font>
    <font>
      <b/>
      <sz val="14"/>
      <color theme="0"/>
      <name val="Calibri"/>
      <family val="2"/>
      <scheme val="minor"/>
    </font>
    <font>
      <sz val="20"/>
      <color theme="0"/>
      <name val="Calibri"/>
      <family val="2"/>
      <scheme val="minor"/>
    </font>
    <font>
      <b/>
      <sz val="12"/>
      <color rgb="FFFF0000"/>
      <name val="Gill Sans MT"/>
      <family val="2"/>
    </font>
    <font>
      <sz val="14"/>
      <color theme="0"/>
      <name val="Calibri"/>
      <family val="2"/>
      <scheme val="minor"/>
    </font>
    <font>
      <sz val="11"/>
      <color theme="3" tint="-0.499984740745262"/>
      <name val="Gill Sans MT"/>
      <family val="2"/>
    </font>
    <font>
      <i/>
      <sz val="11"/>
      <color theme="3" tint="-0.499984740745262"/>
      <name val="Gill Sans MT"/>
      <family val="2"/>
    </font>
    <font>
      <b/>
      <sz val="10"/>
      <color theme="0"/>
      <name val="Gill Sans MT"/>
      <family val="2"/>
    </font>
    <font>
      <sz val="13"/>
      <color theme="1"/>
      <name val="Gill Sans MT"/>
      <family val="2"/>
    </font>
    <font>
      <sz val="11"/>
      <color rgb="FFFF0000"/>
      <name val="Gill Sans MT"/>
      <family val="2"/>
    </font>
    <font>
      <sz val="14"/>
      <color theme="1"/>
      <name val="Gill Sans MT"/>
      <family val="2"/>
    </font>
    <font>
      <b/>
      <sz val="18"/>
      <color theme="0"/>
      <name val="Gill Sans MT"/>
      <family val="2"/>
    </font>
    <font>
      <sz val="11"/>
      <color theme="2" tint="-0.499984740745262"/>
      <name val="Gill Sans MT"/>
      <family val="2"/>
    </font>
    <font>
      <sz val="12"/>
      <color theme="2" tint="-0.499984740745262"/>
      <name val="Gill Sans MT"/>
      <family val="2"/>
    </font>
    <font>
      <sz val="1"/>
      <color theme="2" tint="-0.499984740745262"/>
      <name val="Gill Sans MT"/>
      <family val="2"/>
    </font>
    <font>
      <sz val="14"/>
      <color theme="0"/>
      <name val="Gill Sans MT"/>
      <family val="2"/>
    </font>
    <font>
      <sz val="12"/>
      <color theme="4" tint="-0.499984740745262"/>
      <name val="Gill Sans MT"/>
      <family val="2"/>
    </font>
    <font>
      <b/>
      <sz val="12"/>
      <color theme="1"/>
      <name val="Gill Sans MT"/>
      <family val="2"/>
    </font>
    <font>
      <b/>
      <sz val="13"/>
      <color rgb="FFFF0000"/>
      <name val="Gill Sans MT"/>
      <family val="2"/>
    </font>
    <font>
      <sz val="11.5"/>
      <color theme="0"/>
      <name val="Gill Sans MT"/>
      <family val="2"/>
    </font>
    <font>
      <sz val="13"/>
      <color rgb="FFFF0000"/>
      <name val="Calibri"/>
      <family val="2"/>
      <scheme val="minor"/>
    </font>
    <font>
      <b/>
      <sz val="13"/>
      <color theme="2" tint="-0.499984740745262"/>
      <name val="Gill Sans MT"/>
      <family val="2"/>
    </font>
    <font>
      <sz val="10"/>
      <color theme="9" tint="-0.499984740745262"/>
      <name val="Gill Sans MT"/>
      <family val="2"/>
    </font>
    <font>
      <sz val="20"/>
      <color theme="1"/>
      <name val="Calibri"/>
      <family val="2"/>
      <scheme val="minor"/>
    </font>
    <font>
      <b/>
      <sz val="15"/>
      <color theme="0"/>
      <name val="Calibri"/>
      <family val="2"/>
      <scheme val="minor"/>
    </font>
    <font>
      <b/>
      <sz val="15"/>
      <color theme="0"/>
      <name val="Gill Sans MT"/>
      <family val="2"/>
    </font>
    <font>
      <u/>
      <sz val="15"/>
      <color theme="0"/>
      <name val="Calibri"/>
      <family val="2"/>
      <scheme val="minor"/>
    </font>
    <font>
      <sz val="11.5"/>
      <color theme="1"/>
      <name val="Gill Sans MT"/>
      <family val="2"/>
    </font>
    <font>
      <sz val="11.5"/>
      <color theme="1"/>
      <name val="Calibri"/>
      <family val="2"/>
      <scheme val="minor"/>
    </font>
    <font>
      <sz val="16"/>
      <color theme="0"/>
      <name val="Calibri"/>
      <family val="2"/>
      <scheme val="minor"/>
    </font>
    <font>
      <sz val="9"/>
      <color rgb="FFC00000"/>
      <name val="Gill Sans MT"/>
      <family val="2"/>
    </font>
    <font>
      <sz val="10.5"/>
      <color theme="1"/>
      <name val="Gill Sans MT"/>
      <family val="2"/>
    </font>
    <font>
      <sz val="10.5"/>
      <color theme="1"/>
      <name val="Calibri"/>
      <family val="2"/>
      <scheme val="minor"/>
    </font>
    <font>
      <sz val="10.5"/>
      <color theme="0"/>
      <name val="Gill Sans MT"/>
      <family val="2"/>
    </font>
    <font>
      <b/>
      <sz val="11"/>
      <color theme="0"/>
      <name val="Calibri"/>
      <family val="2"/>
    </font>
    <font>
      <sz val="11"/>
      <color theme="0"/>
      <name val="Calibri"/>
      <family val="2"/>
    </font>
    <font>
      <sz val="18"/>
      <color theme="0"/>
      <name val="Calibri"/>
      <family val="2"/>
      <scheme val="minor"/>
    </font>
    <font>
      <sz val="12"/>
      <color theme="0"/>
      <name val="Calibri"/>
      <family val="2"/>
      <scheme val="minor"/>
    </font>
    <font>
      <b/>
      <sz val="12"/>
      <color theme="0"/>
      <name val="Calibri"/>
      <family val="2"/>
      <scheme val="minor"/>
    </font>
    <font>
      <sz val="5"/>
      <color theme="0"/>
      <name val="Calibri"/>
      <family val="2"/>
      <scheme val="minor"/>
    </font>
    <font>
      <sz val="13"/>
      <color theme="0"/>
      <name val="Calibri"/>
      <family val="2"/>
      <scheme val="minor"/>
    </font>
    <font>
      <b/>
      <sz val="16"/>
      <color theme="0"/>
      <name val="Calibri"/>
      <family val="2"/>
      <scheme val="minor"/>
    </font>
    <font>
      <sz val="8"/>
      <color theme="0"/>
      <name val="Arial"/>
      <family val="2"/>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4" tint="0.399975585192419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hair">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style="hair">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0.499984740745262"/>
      </bottom>
      <diagonal/>
    </border>
    <border>
      <left/>
      <right style="thin">
        <color theme="0" tint="-4.9989318521683403E-2"/>
      </right>
      <top/>
      <bottom style="thin">
        <color theme="0" tint="-0.499984740745262"/>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style="thin">
        <color theme="0" tint="-0.499984740745262"/>
      </right>
      <top/>
      <bottom/>
      <diagonal/>
    </border>
    <border>
      <left style="thin">
        <color theme="0" tint="-4.9989318521683403E-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4.9989318521683403E-2"/>
      </right>
      <top style="hair">
        <color theme="0" tint="-0.499984740745262"/>
      </top>
      <bottom style="hair">
        <color theme="0" tint="-0.499984740745262"/>
      </bottom>
      <diagonal/>
    </border>
    <border>
      <left style="thin">
        <color theme="0" tint="-4.9989318521683403E-2"/>
      </left>
      <right/>
      <top style="hair">
        <color theme="0" tint="-0.499984740745262"/>
      </top>
      <bottom style="hair">
        <color theme="0" tint="-0.499984740745262"/>
      </bottom>
      <diagonal/>
    </border>
    <border>
      <left/>
      <right style="thin">
        <color theme="0" tint="-4.9989318521683403E-2"/>
      </right>
      <top style="hair">
        <color theme="0" tint="-0.499984740745262"/>
      </top>
      <bottom style="hair">
        <color theme="0" tint="-0.499984740745262"/>
      </bottom>
      <diagonal/>
    </border>
    <border>
      <left/>
      <right style="thin">
        <color theme="0" tint="-4.9989318521683403E-2"/>
      </right>
      <top style="hair">
        <color theme="0" tint="-0.499984740745262"/>
      </top>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style="thin">
        <color theme="0" tint="-0.14990691854609822"/>
      </top>
      <bottom/>
      <diagonal/>
    </border>
    <border>
      <left/>
      <right style="thin">
        <color theme="0" tint="-0.1498764000366222"/>
      </right>
      <top style="thin">
        <color theme="0" tint="-0.14990691854609822"/>
      </top>
      <bottom/>
      <diagonal/>
    </border>
    <border>
      <left/>
      <right style="thin">
        <color theme="0" tint="-0.1498764000366222"/>
      </right>
      <top/>
      <bottom/>
      <diagonal/>
    </border>
    <border>
      <left style="thin">
        <color theme="0" tint="-0.1498764000366222"/>
      </left>
      <right/>
      <top/>
      <bottom/>
      <diagonal/>
    </border>
    <border>
      <left style="thin">
        <color theme="0" tint="-0.1498764000366222"/>
      </left>
      <right/>
      <top/>
      <bottom style="thin">
        <color theme="0" tint="-0.1498458815271462"/>
      </bottom>
      <diagonal/>
    </border>
    <border>
      <left/>
      <right/>
      <top/>
      <bottom style="thin">
        <color theme="0" tint="-0.1498458815271462"/>
      </bottom>
      <diagonal/>
    </border>
    <border>
      <left/>
      <right style="thin">
        <color theme="0" tint="-0.1498764000366222"/>
      </right>
      <top/>
      <bottom style="thin">
        <color theme="0" tint="-0.1498458815271462"/>
      </bottom>
      <diagonal/>
    </border>
    <border>
      <left/>
      <right/>
      <top style="thin">
        <color theme="0" tint="-0.1498458815271462"/>
      </top>
      <bottom/>
      <diagonal/>
    </border>
    <border>
      <left style="thin">
        <color theme="0" tint="-4.9989318521683403E-2"/>
      </left>
      <right/>
      <top style="thin">
        <color theme="0" tint="-4.9989318521683403E-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4.9989318521683403E-2"/>
      </left>
      <right/>
      <top style="thin">
        <color theme="0" tint="-0.499984740745262"/>
      </top>
      <bottom/>
      <diagonal/>
    </border>
    <border>
      <left/>
      <right/>
      <top style="thin">
        <color theme="0" tint="-0.499984740745262"/>
      </top>
      <bottom/>
      <diagonal/>
    </border>
    <border>
      <left/>
      <right style="thin">
        <color theme="0" tint="-4.9989318521683403E-2"/>
      </right>
      <top style="thin">
        <color theme="0" tint="-0.499984740745262"/>
      </top>
      <bottom/>
      <diagonal/>
    </border>
    <border>
      <left/>
      <right style="thin">
        <color theme="0" tint="-4.9989318521683403E-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4.9989318521683403E-2"/>
      </left>
      <right/>
      <top style="hair">
        <color theme="0" tint="-0.499984740745262"/>
      </top>
      <bottom/>
      <diagonal/>
    </border>
    <border>
      <left style="thin">
        <color theme="0" tint="-0.499984740745262"/>
      </left>
      <right/>
      <top style="thin">
        <color theme="0" tint="-4.9989318521683403E-2"/>
      </top>
      <bottom style="thin">
        <color theme="0" tint="-0.499984740745262"/>
      </bottom>
      <diagonal/>
    </border>
    <border>
      <left/>
      <right style="thin">
        <color theme="0" tint="-0.499984740745262"/>
      </right>
      <top style="thin">
        <color theme="0" tint="-4.9989318521683403E-2"/>
      </top>
      <bottom style="thin">
        <color theme="0" tint="-0.499984740745262"/>
      </bottom>
      <diagonal/>
    </border>
    <border>
      <left style="thin">
        <color theme="0" tint="-4.9989318521683403E-2"/>
      </left>
      <right/>
      <top/>
      <bottom style="thin">
        <color theme="0" tint="-4.9989318521683403E-2"/>
      </bottom>
      <diagonal/>
    </border>
    <border>
      <left style="thin">
        <color theme="0" tint="-0.1498764000366222"/>
      </left>
      <right/>
      <top style="thin">
        <color theme="0" tint="-0.14990691854609822"/>
      </top>
      <bottom/>
      <diagonal/>
    </border>
  </borders>
  <cellStyleXfs count="3">
    <xf numFmtId="0" fontId="0" fillId="0" borderId="0"/>
    <xf numFmtId="0" fontId="17" fillId="0" borderId="0" applyNumberFormat="0" applyFill="0" applyBorder="0" applyAlignment="0" applyProtection="0"/>
    <xf numFmtId="0" fontId="18" fillId="0" borderId="0"/>
  </cellStyleXfs>
  <cellXfs count="301">
    <xf numFmtId="0" fontId="0" fillId="0" borderId="0" xfId="0"/>
    <xf numFmtId="0" fontId="0" fillId="2" borderId="0" xfId="0" applyFill="1"/>
    <xf numFmtId="0" fontId="22" fillId="2" borderId="0" xfId="0" applyFont="1" applyFill="1"/>
    <xf numFmtId="0" fontId="23" fillId="2" borderId="0" xfId="0" applyFont="1" applyFill="1"/>
    <xf numFmtId="0" fontId="24" fillId="2" borderId="0" xfId="0" applyFont="1" applyFill="1"/>
    <xf numFmtId="0" fontId="25" fillId="2" borderId="0" xfId="0" applyFont="1" applyFill="1"/>
    <xf numFmtId="0" fontId="23" fillId="2" borderId="0" xfId="0" applyFont="1" applyFill="1" applyAlignment="1">
      <alignment horizontal="center" vertical="center"/>
    </xf>
    <xf numFmtId="0" fontId="22" fillId="7" borderId="6" xfId="0" applyFont="1" applyFill="1" applyBorder="1" applyAlignment="1" applyProtection="1">
      <alignment horizontal="center" vertical="center"/>
      <protection locked="0"/>
    </xf>
    <xf numFmtId="0" fontId="26" fillId="2" borderId="0" xfId="0" applyFont="1" applyFill="1"/>
    <xf numFmtId="0" fontId="26" fillId="2" borderId="0" xfId="0" applyFont="1" applyFill="1"/>
    <xf numFmtId="0" fontId="27" fillId="2" borderId="0" xfId="0" applyFont="1" applyFill="1"/>
    <xf numFmtId="0" fontId="0" fillId="2" borderId="0" xfId="0" applyFill="1" applyAlignment="1">
      <alignment vertical="center"/>
    </xf>
    <xf numFmtId="0" fontId="30" fillId="2" borderId="7" xfId="0" applyFont="1" applyFill="1" applyBorder="1" applyAlignment="1">
      <alignment horizontal="center" vertical="center"/>
    </xf>
    <xf numFmtId="20" fontId="1" fillId="7" borderId="8" xfId="0" applyNumberFormat="1" applyFont="1" applyFill="1" applyBorder="1" applyAlignment="1" applyProtection="1">
      <alignment horizontal="center" vertical="center"/>
      <protection locked="0"/>
    </xf>
    <xf numFmtId="2" fontId="22" fillId="2" borderId="9" xfId="0" applyNumberFormat="1" applyFont="1" applyFill="1" applyBorder="1" applyAlignment="1">
      <alignment horizontal="left" vertical="top"/>
    </xf>
    <xf numFmtId="0" fontId="22" fillId="2" borderId="10" xfId="0" applyFont="1" applyFill="1" applyBorder="1" applyAlignment="1">
      <alignment horizontal="center" vertical="center"/>
    </xf>
    <xf numFmtId="0" fontId="1" fillId="12" borderId="10" xfId="0" applyFont="1" applyFill="1" applyBorder="1" applyAlignment="1">
      <alignment horizontal="center" vertical="center"/>
    </xf>
    <xf numFmtId="0" fontId="1" fillId="7" borderId="6" xfId="0" applyFont="1" applyFill="1" applyBorder="1" applyAlignment="1" applyProtection="1">
      <alignment horizontal="center" vertical="center"/>
      <protection locked="0"/>
    </xf>
    <xf numFmtId="0" fontId="32" fillId="5" borderId="11" xfId="0" applyFont="1" applyFill="1" applyBorder="1" applyAlignment="1">
      <alignment horizontal="left" vertical="center"/>
    </xf>
    <xf numFmtId="0" fontId="32" fillId="5" borderId="11" xfId="0" applyFont="1" applyFill="1" applyBorder="1" applyAlignment="1">
      <alignment horizontal="left" vertical="center" indent="1"/>
    </xf>
    <xf numFmtId="0" fontId="33" fillId="5" borderId="11" xfId="0" applyFont="1" applyFill="1" applyBorder="1" applyAlignment="1">
      <alignment horizontal="left" vertical="center"/>
    </xf>
    <xf numFmtId="0" fontId="35" fillId="2" borderId="12" xfId="0" applyFont="1" applyFill="1" applyBorder="1" applyAlignment="1">
      <alignment horizontal="left" vertical="center"/>
    </xf>
    <xf numFmtId="0" fontId="35" fillId="2" borderId="13" xfId="0" applyFont="1" applyFill="1" applyBorder="1" applyAlignment="1">
      <alignment horizontal="left" vertical="center"/>
    </xf>
    <xf numFmtId="0" fontId="35" fillId="2" borderId="9" xfId="0" applyFont="1" applyFill="1" applyBorder="1" applyAlignment="1">
      <alignment horizontal="left" vertical="center"/>
    </xf>
    <xf numFmtId="2" fontId="35" fillId="2" borderId="9" xfId="0" applyNumberFormat="1" applyFont="1" applyFill="1" applyBorder="1" applyAlignment="1">
      <alignment horizontal="left" vertical="center"/>
    </xf>
    <xf numFmtId="0" fontId="35" fillId="2" borderId="0" xfId="0" applyFont="1" applyFill="1" applyBorder="1" applyAlignment="1">
      <alignment horizontal="left" vertical="center"/>
    </xf>
    <xf numFmtId="0" fontId="35" fillId="2" borderId="0" xfId="0" applyFont="1" applyFill="1" applyBorder="1" applyAlignment="1">
      <alignment vertical="center"/>
    </xf>
    <xf numFmtId="20" fontId="35" fillId="2" borderId="0" xfId="0" applyNumberFormat="1" applyFont="1" applyFill="1" applyBorder="1" applyAlignment="1">
      <alignment vertical="center"/>
    </xf>
    <xf numFmtId="2" fontId="35" fillId="2" borderId="0" xfId="0" applyNumberFormat="1" applyFont="1" applyFill="1" applyBorder="1" applyAlignment="1">
      <alignment horizontal="left" vertical="center"/>
    </xf>
    <xf numFmtId="0" fontId="2" fillId="2" borderId="9" xfId="0" applyFont="1" applyFill="1" applyBorder="1" applyAlignment="1" applyProtection="1">
      <alignment horizontal="right" vertical="top"/>
    </xf>
    <xf numFmtId="0" fontId="36" fillId="2" borderId="0" xfId="0" applyFont="1" applyFill="1"/>
    <xf numFmtId="0" fontId="37" fillId="8" borderId="0" xfId="0" applyFont="1" applyFill="1" applyAlignment="1">
      <alignment horizontal="center" vertical="center"/>
    </xf>
    <xf numFmtId="0" fontId="38" fillId="8" borderId="0" xfId="0" applyFont="1" applyFill="1"/>
    <xf numFmtId="0" fontId="24" fillId="8" borderId="0" xfId="0" applyFont="1" applyFill="1"/>
    <xf numFmtId="0" fontId="37" fillId="8" borderId="0" xfId="0" applyFont="1" applyFill="1"/>
    <xf numFmtId="0" fontId="22" fillId="8" borderId="0" xfId="0" applyFont="1" applyFill="1"/>
    <xf numFmtId="0" fontId="39" fillId="8" borderId="0" xfId="0" applyFont="1" applyFill="1"/>
    <xf numFmtId="0" fontId="40" fillId="8" borderId="0" xfId="0" applyFont="1" applyFill="1"/>
    <xf numFmtId="0" fontId="40" fillId="8" borderId="0" xfId="0" applyFont="1" applyFill="1" applyAlignment="1">
      <alignment horizontal="center" vertical="center"/>
    </xf>
    <xf numFmtId="2" fontId="40" fillId="8" borderId="0" xfId="0" applyNumberFormat="1" applyFont="1" applyFill="1"/>
    <xf numFmtId="0" fontId="40" fillId="8" borderId="0" xfId="0" applyFont="1" applyFill="1" applyAlignment="1">
      <alignment horizontal="center"/>
    </xf>
    <xf numFmtId="2" fontId="41" fillId="8" borderId="0" xfId="0" applyNumberFormat="1" applyFont="1" applyFill="1"/>
    <xf numFmtId="0" fontId="41" fillId="8" borderId="0" xfId="0" applyFont="1" applyFill="1" applyAlignment="1">
      <alignment horizontal="left" vertical="center"/>
    </xf>
    <xf numFmtId="0" fontId="41" fillId="8" borderId="0" xfId="0" applyFont="1" applyFill="1"/>
    <xf numFmtId="0" fontId="40" fillId="8" borderId="0" xfId="0" applyFont="1" applyFill="1" applyBorder="1"/>
    <xf numFmtId="0" fontId="39" fillId="8" borderId="0" xfId="0" applyFont="1" applyFill="1" applyBorder="1"/>
    <xf numFmtId="0" fontId="22" fillId="2" borderId="0" xfId="0" applyFont="1" applyFill="1" applyBorder="1"/>
    <xf numFmtId="2" fontId="5" fillId="2" borderId="0" xfId="0" applyNumberFormat="1" applyFont="1" applyFill="1" applyBorder="1" applyAlignment="1">
      <alignment horizontal="center" vertical="center"/>
    </xf>
    <xf numFmtId="0" fontId="22" fillId="2" borderId="0" xfId="0" applyFont="1" applyFill="1" applyBorder="1" applyAlignment="1">
      <alignment horizontal="center" vertical="center"/>
    </xf>
    <xf numFmtId="2" fontId="22" fillId="2" borderId="0" xfId="0" applyNumberFormat="1" applyFont="1" applyFill="1" applyBorder="1" applyAlignment="1">
      <alignment horizontal="left" vertical="top"/>
    </xf>
    <xf numFmtId="0" fontId="22" fillId="2" borderId="14" xfId="0" applyFont="1" applyFill="1" applyBorder="1" applyAlignment="1">
      <alignment horizontal="right" vertical="center" indent="1"/>
    </xf>
    <xf numFmtId="0" fontId="22" fillId="2" borderId="15" xfId="0" applyFont="1" applyFill="1" applyBorder="1" applyAlignment="1">
      <alignment horizontal="left" vertical="center" indent="1"/>
    </xf>
    <xf numFmtId="2" fontId="1" fillId="2" borderId="14" xfId="0" applyNumberFormat="1" applyFont="1" applyFill="1" applyBorder="1" applyAlignment="1">
      <alignment horizontal="right" vertical="center" indent="1"/>
    </xf>
    <xf numFmtId="0" fontId="22" fillId="2" borderId="14" xfId="0" applyFont="1" applyFill="1" applyBorder="1"/>
    <xf numFmtId="0" fontId="22" fillId="2" borderId="15" xfId="0" applyFont="1" applyFill="1" applyBorder="1"/>
    <xf numFmtId="2" fontId="5" fillId="2" borderId="14" xfId="0" applyNumberFormat="1" applyFont="1" applyFill="1" applyBorder="1" applyAlignment="1">
      <alignment horizontal="center" vertical="center"/>
    </xf>
    <xf numFmtId="2" fontId="5" fillId="2" borderId="15" xfId="0" applyNumberFormat="1" applyFont="1" applyFill="1" applyBorder="1" applyAlignment="1">
      <alignment horizontal="center" vertical="center"/>
    </xf>
    <xf numFmtId="2" fontId="42" fillId="2" borderId="14" xfId="0" applyNumberFormat="1" applyFont="1" applyFill="1" applyBorder="1" applyAlignment="1">
      <alignment vertical="center"/>
    </xf>
    <xf numFmtId="0" fontId="42" fillId="2" borderId="15" xfId="0" applyFont="1" applyFill="1" applyBorder="1" applyAlignment="1">
      <alignment horizontal="center" vertical="center"/>
    </xf>
    <xf numFmtId="0" fontId="22" fillId="2" borderId="16" xfId="0" applyFont="1" applyFill="1" applyBorder="1"/>
    <xf numFmtId="0" fontId="42" fillId="2" borderId="17" xfId="0" applyFont="1" applyFill="1" applyBorder="1" applyAlignment="1">
      <alignment horizontal="center" vertical="center"/>
    </xf>
    <xf numFmtId="0" fontId="37" fillId="2" borderId="0" xfId="0" applyFont="1" applyFill="1" applyBorder="1" applyAlignment="1">
      <alignment vertical="center"/>
    </xf>
    <xf numFmtId="0" fontId="22" fillId="2" borderId="18" xfId="0" applyFont="1" applyFill="1" applyBorder="1" applyAlignment="1">
      <alignment horizontal="right" vertical="center" indent="1"/>
    </xf>
    <xf numFmtId="0" fontId="43" fillId="2" borderId="18" xfId="0" applyFont="1" applyFill="1" applyBorder="1" applyAlignment="1">
      <alignment horizontal="left" vertical="center" indent="1"/>
    </xf>
    <xf numFmtId="0" fontId="43" fillId="2" borderId="19" xfId="0" applyFont="1" applyFill="1" applyBorder="1"/>
    <xf numFmtId="0" fontId="30" fillId="2" borderId="14" xfId="0" applyFont="1" applyFill="1" applyBorder="1" applyAlignment="1">
      <alignment horizontal="left" vertical="center"/>
    </xf>
    <xf numFmtId="0" fontId="30" fillId="2" borderId="0" xfId="0" applyFont="1" applyFill="1" applyBorder="1" applyAlignment="1">
      <alignment horizontal="right" vertical="center"/>
    </xf>
    <xf numFmtId="0" fontId="22" fillId="2" borderId="0" xfId="0" applyFont="1" applyFill="1" applyBorder="1" applyAlignment="1">
      <alignment horizontal="right" vertical="center" indent="1"/>
    </xf>
    <xf numFmtId="0" fontId="43" fillId="2" borderId="0" xfId="0" applyFont="1" applyFill="1" applyBorder="1" applyAlignment="1">
      <alignment horizontal="left" vertical="center" indent="1"/>
    </xf>
    <xf numFmtId="0" fontId="43" fillId="2" borderId="15" xfId="0" applyFont="1" applyFill="1" applyBorder="1"/>
    <xf numFmtId="0" fontId="30" fillId="2" borderId="14" xfId="0" applyFont="1" applyFill="1" applyBorder="1" applyAlignment="1" applyProtection="1">
      <alignment horizontal="right" vertical="center"/>
    </xf>
    <xf numFmtId="0" fontId="23" fillId="2" borderId="0" xfId="0" applyFont="1" applyFill="1" applyBorder="1" applyAlignment="1" applyProtection="1">
      <alignment horizontal="center" vertical="center"/>
    </xf>
    <xf numFmtId="0" fontId="44" fillId="2" borderId="14" xfId="0" applyFont="1" applyFill="1" applyBorder="1" applyAlignment="1" applyProtection="1">
      <alignment horizontal="left" vertical="center"/>
    </xf>
    <xf numFmtId="0" fontId="22" fillId="2" borderId="20" xfId="0" applyFont="1" applyFill="1" applyBorder="1" applyAlignment="1">
      <alignment horizontal="right" vertical="center" indent="1"/>
    </xf>
    <xf numFmtId="0" fontId="43" fillId="2" borderId="15" xfId="0" applyFont="1" applyFill="1" applyBorder="1" applyAlignment="1">
      <alignment horizontal="left" vertical="center"/>
    </xf>
    <xf numFmtId="2" fontId="22" fillId="2" borderId="0" xfId="0" applyNumberFormat="1" applyFont="1" applyFill="1" applyBorder="1" applyAlignment="1">
      <alignment horizontal="right" vertical="center" indent="1"/>
    </xf>
    <xf numFmtId="0" fontId="30" fillId="2" borderId="14" xfId="0" applyFont="1" applyFill="1" applyBorder="1" applyAlignment="1">
      <alignment horizontal="center" vertical="center"/>
    </xf>
    <xf numFmtId="0" fontId="43" fillId="2" borderId="0" xfId="0" applyFont="1" applyFill="1" applyBorder="1" applyAlignment="1">
      <alignment horizontal="right"/>
    </xf>
    <xf numFmtId="0" fontId="20" fillId="2" borderId="14" xfId="0" applyFont="1" applyFill="1" applyBorder="1" applyAlignment="1">
      <alignment horizontal="center"/>
    </xf>
    <xf numFmtId="0" fontId="43" fillId="2" borderId="0" xfId="0" applyFont="1" applyFill="1" applyBorder="1" applyAlignment="1">
      <alignment horizontal="right" vertical="top"/>
    </xf>
    <xf numFmtId="0" fontId="45" fillId="2" borderId="0" xfId="0" applyFont="1" applyFill="1" applyBorder="1" applyAlignment="1">
      <alignment horizontal="left" vertical="center"/>
    </xf>
    <xf numFmtId="0" fontId="45" fillId="2" borderId="0" xfId="0" applyFont="1" applyFill="1" applyBorder="1" applyAlignment="1">
      <alignment horizontal="center" vertical="center"/>
    </xf>
    <xf numFmtId="0" fontId="32" fillId="5" borderId="0" xfId="0" applyFont="1" applyFill="1" applyBorder="1" applyAlignment="1">
      <alignment horizontal="left" vertical="center"/>
    </xf>
    <xf numFmtId="0" fontId="32" fillId="5" borderId="0" xfId="0" applyFont="1" applyFill="1" applyBorder="1" applyAlignment="1">
      <alignment horizontal="left" vertical="center" indent="1"/>
    </xf>
    <xf numFmtId="0" fontId="33" fillId="5" borderId="0" xfId="0" applyFont="1" applyFill="1" applyBorder="1" applyAlignment="1">
      <alignment horizontal="left" vertical="center"/>
    </xf>
    <xf numFmtId="0" fontId="35" fillId="2" borderId="15" xfId="0" applyFont="1" applyFill="1" applyBorder="1" applyAlignment="1">
      <alignment horizontal="left" vertical="center"/>
    </xf>
    <xf numFmtId="0" fontId="45" fillId="2" borderId="15" xfId="0" applyFont="1" applyFill="1" applyBorder="1" applyAlignment="1">
      <alignment horizontal="right" vertical="center"/>
    </xf>
    <xf numFmtId="0" fontId="35" fillId="2" borderId="15" xfId="0" applyFont="1" applyFill="1" applyBorder="1" applyAlignment="1">
      <alignment vertical="center"/>
    </xf>
    <xf numFmtId="0" fontId="35" fillId="2" borderId="17" xfId="0" applyFont="1" applyFill="1" applyBorder="1" applyAlignment="1">
      <alignment vertical="center"/>
    </xf>
    <xf numFmtId="0" fontId="45" fillId="2" borderId="14" xfId="0" applyFont="1" applyFill="1" applyBorder="1" applyAlignment="1">
      <alignment horizontal="center" vertical="center"/>
    </xf>
    <xf numFmtId="0" fontId="45" fillId="2" borderId="15" xfId="0" applyFont="1" applyFill="1" applyBorder="1" applyAlignment="1">
      <alignment horizontal="center" vertical="center"/>
    </xf>
    <xf numFmtId="0" fontId="1" fillId="12" borderId="21" xfId="0" applyFont="1" applyFill="1" applyBorder="1" applyAlignment="1">
      <alignment horizontal="center" vertical="center"/>
    </xf>
    <xf numFmtId="0" fontId="1" fillId="12" borderId="22"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30" fillId="2" borderId="23" xfId="0" applyFont="1" applyFill="1" applyBorder="1" applyAlignment="1">
      <alignment horizontal="center" vertical="center"/>
    </xf>
    <xf numFmtId="0" fontId="30" fillId="2" borderId="24" xfId="0" applyFont="1" applyFill="1" applyBorder="1" applyAlignment="1">
      <alignment horizontal="center" vertical="center"/>
    </xf>
    <xf numFmtId="0" fontId="46" fillId="2" borderId="23" xfId="0" applyFont="1" applyFill="1" applyBorder="1" applyAlignment="1">
      <alignment horizontal="center" vertical="center"/>
    </xf>
    <xf numFmtId="0" fontId="32" fillId="5" borderId="25" xfId="0" applyFont="1" applyFill="1" applyBorder="1" applyAlignment="1">
      <alignment horizontal="left" vertical="center"/>
    </xf>
    <xf numFmtId="0" fontId="32" fillId="5" borderId="15" xfId="0" applyFont="1" applyFill="1" applyBorder="1" applyAlignment="1">
      <alignment horizontal="left" vertical="center"/>
    </xf>
    <xf numFmtId="0" fontId="24" fillId="5" borderId="26" xfId="0" applyFont="1" applyFill="1" applyBorder="1" applyAlignment="1">
      <alignment horizontal="left" vertical="center"/>
    </xf>
    <xf numFmtId="0" fontId="32" fillId="5" borderId="26" xfId="0" applyFont="1" applyFill="1" applyBorder="1" applyAlignment="1">
      <alignment horizontal="left" vertical="center" indent="1"/>
    </xf>
    <xf numFmtId="0" fontId="32" fillId="5" borderId="26" xfId="0" applyFont="1" applyFill="1" applyBorder="1" applyAlignment="1">
      <alignment horizontal="left" vertical="center"/>
    </xf>
    <xf numFmtId="0" fontId="33" fillId="5" borderId="26" xfId="0" applyFont="1" applyFill="1" applyBorder="1" applyAlignment="1">
      <alignment horizontal="left" vertical="center"/>
    </xf>
    <xf numFmtId="0" fontId="32" fillId="5" borderId="27" xfId="0" applyFont="1" applyFill="1" applyBorder="1" applyAlignment="1">
      <alignment horizontal="left" vertical="center"/>
    </xf>
    <xf numFmtId="0" fontId="45" fillId="2" borderId="16" xfId="0" applyFont="1" applyFill="1" applyBorder="1" applyAlignment="1">
      <alignment horizontal="left" vertical="center"/>
    </xf>
    <xf numFmtId="0" fontId="47" fillId="2" borderId="9" xfId="0" applyFont="1" applyFill="1" applyBorder="1" applyAlignment="1">
      <alignment horizontal="left" vertical="center"/>
    </xf>
    <xf numFmtId="0" fontId="47" fillId="2" borderId="17" xfId="0" applyFont="1" applyFill="1" applyBorder="1" applyAlignment="1">
      <alignment horizontal="left" vertical="center"/>
    </xf>
    <xf numFmtId="0" fontId="48" fillId="8" borderId="0" xfId="0" applyFont="1" applyFill="1" applyBorder="1" applyAlignment="1">
      <alignment horizontal="center" vertical="center"/>
    </xf>
    <xf numFmtId="0" fontId="43" fillId="2" borderId="0" xfId="0" applyFont="1" applyFill="1" applyAlignment="1">
      <alignment horizontal="left" vertical="center" indent="1"/>
    </xf>
    <xf numFmtId="0" fontId="23" fillId="2" borderId="15" xfId="0" applyFont="1" applyFill="1" applyBorder="1" applyAlignment="1">
      <alignment horizontal="center" vertical="center"/>
    </xf>
    <xf numFmtId="0" fontId="49" fillId="2" borderId="15" xfId="0" applyFont="1" applyFill="1" applyBorder="1" applyAlignment="1">
      <alignment horizontal="center" vertical="top"/>
    </xf>
    <xf numFmtId="0" fontId="8" fillId="2" borderId="28" xfId="0" applyFont="1" applyFill="1" applyBorder="1" applyAlignment="1">
      <alignment horizontal="center" vertical="center" wrapText="1"/>
    </xf>
    <xf numFmtId="0" fontId="0" fillId="2" borderId="29" xfId="0" applyFill="1" applyBorder="1" applyAlignment="1">
      <alignment vertical="center"/>
    </xf>
    <xf numFmtId="0" fontId="50" fillId="2" borderId="0" xfId="0" applyFont="1" applyFill="1" applyAlignment="1">
      <alignment horizontal="center" vertical="center" wrapText="1"/>
    </xf>
    <xf numFmtId="0" fontId="8" fillId="2" borderId="0" xfId="0" applyFont="1" applyFill="1" applyAlignment="1">
      <alignment horizontal="center" vertical="center" wrapText="1"/>
    </xf>
    <xf numFmtId="0" fontId="0" fillId="2" borderId="30" xfId="0" applyFill="1" applyBorder="1" applyAlignment="1">
      <alignment vertical="center"/>
    </xf>
    <xf numFmtId="0" fontId="0" fillId="2" borderId="31" xfId="0" applyFill="1" applyBorder="1" applyAlignment="1">
      <alignment vertical="center"/>
    </xf>
    <xf numFmtId="0" fontId="21" fillId="2" borderId="0" xfId="0" applyFont="1" applyFill="1" applyAlignment="1">
      <alignment vertical="center"/>
    </xf>
    <xf numFmtId="0" fontId="21" fillId="2" borderId="30" xfId="0" applyFont="1" applyFill="1" applyBorder="1" applyAlignment="1">
      <alignment vertical="center"/>
    </xf>
    <xf numFmtId="0" fontId="25" fillId="2" borderId="31" xfId="0" applyFont="1" applyFill="1" applyBorder="1"/>
    <xf numFmtId="0" fontId="22" fillId="2" borderId="0" xfId="0" applyFont="1" applyFill="1" applyAlignment="1">
      <alignment vertical="center"/>
    </xf>
    <xf numFmtId="0" fontId="17" fillId="2" borderId="0" xfId="1" applyFill="1" applyBorder="1" applyProtection="1"/>
    <xf numFmtId="0" fontId="22" fillId="2" borderId="30" xfId="0" applyFont="1" applyFill="1" applyBorder="1"/>
    <xf numFmtId="0" fontId="22" fillId="2" borderId="0" xfId="0" applyFont="1" applyFill="1" applyAlignment="1">
      <alignment horizontal="left" vertical="center"/>
    </xf>
    <xf numFmtId="0" fontId="24" fillId="2" borderId="30" xfId="0" applyFont="1" applyFill="1" applyBorder="1"/>
    <xf numFmtId="0" fontId="25" fillId="2" borderId="32" xfId="0" applyFont="1" applyFill="1" applyBorder="1"/>
    <xf numFmtId="0" fontId="24" fillId="2" borderId="33" xfId="0" applyFont="1" applyFill="1" applyBorder="1"/>
    <xf numFmtId="0" fontId="22" fillId="2" borderId="33" xfId="0" applyFont="1" applyFill="1" applyBorder="1"/>
    <xf numFmtId="0" fontId="39" fillId="2" borderId="34" xfId="0" applyFont="1" applyFill="1" applyBorder="1" applyAlignment="1">
      <alignment horizontal="right"/>
    </xf>
    <xf numFmtId="0" fontId="13" fillId="8" borderId="35"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0" fillId="8" borderId="35" xfId="0" applyFill="1" applyBorder="1" applyAlignment="1">
      <alignment vertical="center"/>
    </xf>
    <xf numFmtId="0" fontId="21" fillId="2" borderId="0" xfId="0" applyFont="1" applyFill="1" applyAlignment="1">
      <alignment horizontal="left" vertical="center" indent="3"/>
    </xf>
    <xf numFmtId="0" fontId="22" fillId="2" borderId="0" xfId="0" applyFont="1" applyFill="1" applyAlignment="1">
      <alignment horizontal="left" indent="3"/>
    </xf>
    <xf numFmtId="0" fontId="22" fillId="2" borderId="0" xfId="0" applyFont="1" applyFill="1" applyAlignment="1">
      <alignment horizontal="left" vertical="center" indent="3"/>
    </xf>
    <xf numFmtId="0" fontId="22" fillId="2" borderId="0" xfId="0" applyFont="1" applyFill="1" applyAlignment="1">
      <alignment horizontal="right" vertical="center" indent="1"/>
    </xf>
    <xf numFmtId="0" fontId="0" fillId="2" borderId="0" xfId="0" applyFill="1"/>
    <xf numFmtId="0" fontId="51" fillId="4" borderId="1" xfId="0" applyFont="1" applyFill="1" applyBorder="1"/>
    <xf numFmtId="0" fontId="51" fillId="4" borderId="2" xfId="0" applyFont="1" applyFill="1" applyBorder="1"/>
    <xf numFmtId="0" fontId="51" fillId="4" borderId="3" xfId="0" applyFont="1" applyFill="1" applyBorder="1"/>
    <xf numFmtId="0" fontId="51" fillId="4" borderId="0" xfId="0" applyFont="1" applyFill="1"/>
    <xf numFmtId="0" fontId="51" fillId="4" borderId="0" xfId="0" applyFont="1" applyFill="1" applyAlignment="1">
      <alignment horizontal="center" vertical="center"/>
    </xf>
    <xf numFmtId="0" fontId="52" fillId="4" borderId="3" xfId="0" applyFont="1" applyFill="1" applyBorder="1"/>
    <xf numFmtId="0" fontId="53" fillId="4" borderId="0" xfId="1" applyFont="1" applyFill="1" applyBorder="1" applyAlignment="1">
      <alignment horizontal="center" vertical="center"/>
    </xf>
    <xf numFmtId="0" fontId="51" fillId="4" borderId="4" xfId="0" applyFont="1" applyFill="1" applyBorder="1"/>
    <xf numFmtId="0" fontId="51" fillId="4" borderId="5" xfId="0" applyFont="1" applyFill="1" applyBorder="1"/>
    <xf numFmtId="0" fontId="23" fillId="8" borderId="0" xfId="0" applyFont="1" applyFill="1" applyAlignment="1">
      <alignment horizontal="center" vertical="center"/>
    </xf>
    <xf numFmtId="0" fontId="11" fillId="2" borderId="0" xfId="0" applyFont="1" applyFill="1" applyAlignment="1">
      <alignment horizontal="left" vertical="center" indent="3"/>
    </xf>
    <xf numFmtId="0" fontId="0" fillId="2" borderId="0" xfId="0" applyFill="1"/>
    <xf numFmtId="0" fontId="39" fillId="2" borderId="0" xfId="0" applyFont="1" applyFill="1"/>
    <xf numFmtId="0" fontId="13" fillId="6" borderId="5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31" xfId="0" applyFont="1" applyFill="1" applyBorder="1" applyAlignment="1">
      <alignment horizontal="center" vertical="center" wrapText="1"/>
    </xf>
    <xf numFmtId="0" fontId="13" fillId="6" borderId="0" xfId="0" applyFont="1" applyFill="1" applyAlignment="1">
      <alignment horizontal="center" vertical="center" wrapText="1"/>
    </xf>
    <xf numFmtId="0" fontId="17" fillId="2" borderId="0" xfId="1" applyFill="1" applyBorder="1" applyAlignment="1" applyProtection="1">
      <alignment horizontal="center" vertical="center"/>
    </xf>
    <xf numFmtId="0" fontId="21" fillId="0" borderId="30" xfId="0" applyFont="1" applyBorder="1" applyAlignment="1">
      <alignment horizontal="center" vertical="center"/>
    </xf>
    <xf numFmtId="0" fontId="32" fillId="5" borderId="14" xfId="0" applyFont="1" applyFill="1" applyBorder="1" applyAlignment="1">
      <alignment horizontal="left" vertical="center" indent="1"/>
    </xf>
    <xf numFmtId="0" fontId="0" fillId="5" borderId="0" xfId="0" applyFill="1" applyBorder="1" applyAlignment="1">
      <alignment horizontal="left" vertical="center" indent="1"/>
    </xf>
    <xf numFmtId="0" fontId="26" fillId="10" borderId="39" xfId="0" applyFont="1" applyFill="1" applyBorder="1" applyAlignment="1">
      <alignment horizontal="center"/>
    </xf>
    <xf numFmtId="0" fontId="26" fillId="10" borderId="40" xfId="0" applyFont="1" applyFill="1" applyBorder="1" applyAlignment="1">
      <alignment horizontal="center"/>
    </xf>
    <xf numFmtId="0" fontId="26" fillId="10" borderId="41" xfId="0" applyFont="1" applyFill="1" applyBorder="1" applyAlignment="1">
      <alignment horizontal="center"/>
    </xf>
    <xf numFmtId="0" fontId="60" fillId="11" borderId="55" xfId="1" applyFont="1" applyFill="1" applyBorder="1" applyAlignment="1">
      <alignment horizontal="center" vertical="center"/>
    </xf>
    <xf numFmtId="0" fontId="60" fillId="11" borderId="26" xfId="1" applyFont="1" applyFill="1" applyBorder="1" applyAlignment="1">
      <alignment horizontal="center" vertical="center"/>
    </xf>
    <xf numFmtId="0" fontId="60" fillId="11" borderId="27" xfId="1" applyFont="1" applyFill="1" applyBorder="1" applyAlignment="1">
      <alignment horizontal="center" vertical="center"/>
    </xf>
    <xf numFmtId="0" fontId="32" fillId="5" borderId="55" xfId="0" applyFont="1" applyFill="1" applyBorder="1" applyAlignment="1">
      <alignment horizontal="left" vertical="center" indent="1"/>
    </xf>
    <xf numFmtId="0" fontId="0" fillId="5" borderId="26" xfId="0" applyFill="1" applyBorder="1" applyAlignment="1">
      <alignment horizontal="left" vertical="center" indent="1"/>
    </xf>
    <xf numFmtId="0" fontId="16" fillId="10" borderId="16" xfId="1" applyFont="1" applyFill="1" applyBorder="1" applyAlignment="1">
      <alignment horizontal="center" vertical="center"/>
    </xf>
    <xf numFmtId="0" fontId="16" fillId="10" borderId="9" xfId="1" applyFont="1" applyFill="1" applyBorder="1" applyAlignment="1">
      <alignment horizontal="center" vertical="center"/>
    </xf>
    <xf numFmtId="0" fontId="16" fillId="10" borderId="17" xfId="1" applyFont="1" applyFill="1" applyBorder="1" applyAlignment="1">
      <alignment horizontal="center" vertical="center"/>
    </xf>
    <xf numFmtId="0" fontId="22" fillId="7" borderId="53" xfId="0" applyFont="1" applyFill="1" applyBorder="1" applyAlignment="1" applyProtection="1">
      <alignment horizontal="center" vertical="center"/>
      <protection locked="0"/>
    </xf>
    <xf numFmtId="0" fontId="0" fillId="0" borderId="54" xfId="0" applyBorder="1" applyAlignment="1" applyProtection="1">
      <alignment vertical="center"/>
      <protection locked="0"/>
    </xf>
    <xf numFmtId="2" fontId="22" fillId="7" borderId="37" xfId="0" applyNumberFormat="1" applyFont="1" applyFill="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2" fillId="7" borderId="37" xfId="0" applyFont="1" applyFill="1" applyBorder="1" applyAlignment="1" applyProtection="1">
      <alignment horizontal="center" vertical="center"/>
      <protection locked="0"/>
    </xf>
    <xf numFmtId="0" fontId="32" fillId="5" borderId="52" xfId="0" applyFont="1" applyFill="1" applyBorder="1" applyAlignment="1">
      <alignment horizontal="left" vertical="center" indent="1"/>
    </xf>
    <xf numFmtId="0" fontId="0" fillId="5" borderId="11" xfId="0" applyFill="1" applyBorder="1" applyAlignment="1">
      <alignment horizontal="left" vertical="center" indent="1"/>
    </xf>
    <xf numFmtId="0" fontId="57" fillId="8" borderId="0" xfId="0" applyFont="1" applyFill="1" applyBorder="1" applyAlignment="1">
      <alignment horizontal="center" shrinkToFit="1"/>
    </xf>
    <xf numFmtId="0" fontId="0" fillId="8" borderId="0" xfId="0" applyFill="1" applyBorder="1" applyAlignment="1">
      <alignment horizontal="center" shrinkToFit="1"/>
    </xf>
    <xf numFmtId="0" fontId="58" fillId="2" borderId="14" xfId="0" applyFont="1" applyFill="1" applyBorder="1" applyAlignment="1">
      <alignment horizontal="center" vertical="center" wrapText="1"/>
    </xf>
    <xf numFmtId="0" fontId="59" fillId="0" borderId="0"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14" xfId="0" applyFont="1" applyBorder="1" applyAlignment="1">
      <alignment horizontal="center" vertical="center" wrapText="1"/>
    </xf>
    <xf numFmtId="2" fontId="1" fillId="7" borderId="37" xfId="0" applyNumberFormat="1" applyFont="1" applyFill="1" applyBorder="1" applyAlignment="1" applyProtection="1">
      <alignment vertical="center"/>
      <protection locked="0"/>
    </xf>
    <xf numFmtId="0" fontId="1" fillId="7" borderId="42" xfId="0" applyFont="1" applyFill="1" applyBorder="1" applyAlignment="1" applyProtection="1">
      <alignment vertical="center"/>
      <protection locked="0"/>
    </xf>
    <xf numFmtId="2" fontId="22" fillId="7" borderId="38" xfId="0" applyNumberFormat="1" applyFont="1" applyFill="1" applyBorder="1" applyAlignment="1" applyProtection="1">
      <alignment horizontal="center" vertical="center"/>
      <protection locked="0"/>
    </xf>
    <xf numFmtId="0" fontId="5" fillId="9" borderId="14" xfId="0" applyFont="1" applyFill="1" applyBorder="1" applyAlignment="1">
      <alignment horizontal="center" vertical="center"/>
    </xf>
    <xf numFmtId="0" fontId="5" fillId="9" borderId="0" xfId="0" applyFont="1" applyFill="1" applyBorder="1" applyAlignment="1">
      <alignment horizontal="center" vertical="center"/>
    </xf>
    <xf numFmtId="2" fontId="1" fillId="7" borderId="42" xfId="0" applyNumberFormat="1" applyFont="1" applyFill="1" applyBorder="1" applyAlignment="1" applyProtection="1">
      <alignment vertical="center"/>
      <protection locked="0"/>
    </xf>
    <xf numFmtId="0" fontId="8" fillId="6" borderId="44" xfId="0" applyFont="1" applyFill="1" applyBorder="1" applyAlignment="1">
      <alignment horizontal="center" vertical="center" wrapText="1"/>
    </xf>
    <xf numFmtId="0" fontId="0" fillId="6" borderId="45" xfId="0" applyFill="1" applyBorder="1" applyAlignment="1">
      <alignment horizontal="center" vertical="center"/>
    </xf>
    <xf numFmtId="0" fontId="0" fillId="0" borderId="45" xfId="0" applyBorder="1" applyAlignment="1">
      <alignment vertical="center"/>
    </xf>
    <xf numFmtId="0" fontId="0" fillId="0" borderId="46" xfId="0" applyBorder="1" applyAlignment="1">
      <alignment vertical="center"/>
    </xf>
    <xf numFmtId="0" fontId="0" fillId="6" borderId="47" xfId="0" applyFill="1" applyBorder="1" applyAlignment="1">
      <alignment horizontal="center" vertical="center"/>
    </xf>
    <xf numFmtId="0" fontId="0" fillId="6" borderId="0" xfId="0" applyFill="1" applyAlignment="1">
      <alignment horizontal="center" vertical="center"/>
    </xf>
    <xf numFmtId="0" fontId="0" fillId="0" borderId="0" xfId="0"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46" fillId="2" borderId="7" xfId="0" applyFont="1" applyFill="1" applyBorder="1" applyAlignment="1">
      <alignment horizontal="left" vertical="center"/>
    </xf>
    <xf numFmtId="0" fontId="0" fillId="0" borderId="7" xfId="0" applyBorder="1" applyAlignment="1">
      <alignment vertical="center"/>
    </xf>
    <xf numFmtId="0" fontId="0" fillId="0" borderId="24" xfId="0" applyBorder="1" applyAlignment="1">
      <alignment vertical="center"/>
    </xf>
    <xf numFmtId="0" fontId="26" fillId="11" borderId="39" xfId="0" applyFont="1" applyFill="1" applyBorder="1" applyAlignment="1">
      <alignment horizontal="center"/>
    </xf>
    <xf numFmtId="0" fontId="26" fillId="11" borderId="40" xfId="0" applyFont="1" applyFill="1" applyBorder="1" applyAlignment="1">
      <alignment horizontal="center"/>
    </xf>
    <xf numFmtId="0" fontId="26" fillId="11" borderId="41" xfId="0" applyFont="1" applyFill="1" applyBorder="1" applyAlignment="1">
      <alignment horizontal="center"/>
    </xf>
    <xf numFmtId="0" fontId="54" fillId="2" borderId="20" xfId="0" applyFont="1" applyFill="1" applyBorder="1" applyAlignment="1">
      <alignment horizontal="left" vertical="top" wrapText="1" indent="1" readingOrder="1"/>
    </xf>
    <xf numFmtId="0" fontId="55" fillId="0" borderId="43" xfId="0" applyFont="1" applyBorder="1" applyAlignment="1">
      <alignment horizontal="left" vertical="top" wrapText="1" indent="1" readingOrder="1"/>
    </xf>
    <xf numFmtId="0" fontId="55" fillId="0" borderId="20" xfId="0" applyFont="1" applyBorder="1" applyAlignment="1">
      <alignment horizontal="left" vertical="top" wrapText="1" indent="1" readingOrder="1"/>
    </xf>
    <xf numFmtId="0" fontId="0" fillId="0" borderId="20" xfId="0" applyBorder="1" applyAlignment="1">
      <alignment horizontal="left" vertical="top" wrapText="1" indent="1"/>
    </xf>
    <xf numFmtId="0" fontId="0" fillId="0" borderId="43" xfId="0" applyBorder="1" applyAlignment="1">
      <alignment horizontal="left" vertical="top" wrapText="1" indent="1"/>
    </xf>
    <xf numFmtId="0" fontId="3" fillId="8" borderId="0" xfId="0" applyFont="1" applyFill="1" applyAlignment="1">
      <alignment vertical="center"/>
    </xf>
    <xf numFmtId="0" fontId="4" fillId="8" borderId="0" xfId="0" applyFont="1" applyFill="1" applyAlignment="1">
      <alignment vertical="center"/>
    </xf>
    <xf numFmtId="0" fontId="26" fillId="8" borderId="0" xfId="0" applyFont="1" applyFill="1" applyAlignment="1">
      <alignment horizontal="center"/>
    </xf>
    <xf numFmtId="2" fontId="5" fillId="3" borderId="36" xfId="0" applyNumberFormat="1" applyFont="1" applyFill="1" applyBorder="1" applyAlignment="1">
      <alignment horizontal="center" vertical="center"/>
    </xf>
    <xf numFmtId="0" fontId="5" fillId="3" borderId="18" xfId="0" applyFont="1" applyFill="1" applyBorder="1" applyAlignment="1">
      <alignment horizontal="center"/>
    </xf>
    <xf numFmtId="0" fontId="5" fillId="3" borderId="19" xfId="0" applyFont="1" applyFill="1" applyBorder="1" applyAlignment="1">
      <alignment horizontal="center"/>
    </xf>
    <xf numFmtId="2" fontId="5" fillId="13" borderId="36" xfId="0" applyNumberFormat="1" applyFont="1" applyFill="1" applyBorder="1" applyAlignment="1">
      <alignment horizontal="center" vertical="center"/>
    </xf>
    <xf numFmtId="0" fontId="5" fillId="13" borderId="18" xfId="0" applyFont="1" applyFill="1" applyBorder="1" applyAlignment="1">
      <alignment horizontal="center"/>
    </xf>
    <xf numFmtId="0" fontId="22" fillId="2" borderId="14" xfId="0" applyFont="1" applyFill="1"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16" fillId="2" borderId="0" xfId="0" applyFont="1" applyFill="1" applyBorder="1" applyAlignment="1">
      <alignment horizontal="center" vertical="center"/>
    </xf>
    <xf numFmtId="0" fontId="16" fillId="2" borderId="0" xfId="0" applyFont="1" applyFill="1" applyBorder="1"/>
    <xf numFmtId="0" fontId="26" fillId="2" borderId="0" xfId="0" applyFont="1" applyFill="1" applyBorder="1"/>
    <xf numFmtId="0" fontId="16" fillId="2" borderId="0" xfId="0" applyFont="1" applyFill="1" applyBorder="1" applyAlignment="1">
      <alignment horizontal="left" vertical="center"/>
    </xf>
    <xf numFmtId="0" fontId="34" fillId="2" borderId="0" xfId="0" applyFont="1" applyFill="1" applyBorder="1" applyAlignment="1">
      <alignment horizontal="center" vertical="center"/>
    </xf>
    <xf numFmtId="0" fontId="16" fillId="2" borderId="0" xfId="0" applyFont="1" applyFill="1" applyBorder="1" applyAlignment="1">
      <alignment horizontal="center" vertical="center"/>
    </xf>
    <xf numFmtId="14" fontId="16" fillId="2" borderId="0" xfId="0" applyNumberFormat="1" applyFont="1" applyFill="1" applyBorder="1" applyAlignment="1">
      <alignment horizontal="center" vertical="center"/>
    </xf>
    <xf numFmtId="0" fontId="27" fillId="2" borderId="0" xfId="0" applyFont="1" applyFill="1" applyBorder="1"/>
    <xf numFmtId="0" fontId="16" fillId="2" borderId="0" xfId="0" applyFont="1" applyFill="1" applyBorder="1" applyAlignment="1">
      <alignment horizontal="center" vertical="center" wrapText="1"/>
    </xf>
    <xf numFmtId="0" fontId="16" fillId="2" borderId="0" xfId="0" applyNumberFormat="1" applyFont="1" applyFill="1" applyBorder="1" applyAlignment="1">
      <alignment horizontal="center" vertical="center"/>
    </xf>
    <xf numFmtId="0" fontId="16" fillId="2" borderId="0" xfId="0" applyFont="1" applyFill="1" applyBorder="1" applyAlignment="1">
      <alignment horizontal="center" vertical="center" wrapText="1"/>
    </xf>
    <xf numFmtId="0" fontId="19" fillId="2" borderId="0" xfId="0" applyFont="1" applyFill="1" applyBorder="1"/>
    <xf numFmtId="0" fontId="16" fillId="2" borderId="0" xfId="0" applyFont="1" applyFill="1" applyBorder="1"/>
    <xf numFmtId="0" fontId="16" fillId="2" borderId="0" xfId="0" applyFont="1" applyFill="1" applyBorder="1" applyAlignment="1">
      <alignment vertical="center"/>
    </xf>
    <xf numFmtId="0" fontId="28" fillId="2" borderId="0" xfId="0" applyFont="1" applyFill="1" applyBorder="1" applyAlignment="1">
      <alignment horizontal="center" vertical="center" wrapText="1"/>
    </xf>
    <xf numFmtId="0" fontId="16" fillId="2" borderId="0" xfId="0" applyFont="1" applyFill="1" applyBorder="1" applyAlignment="1">
      <alignment wrapText="1"/>
    </xf>
    <xf numFmtId="0" fontId="28"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51" fillId="4" borderId="0" xfId="0" applyFont="1" applyFill="1" applyBorder="1"/>
    <xf numFmtId="0" fontId="63" fillId="2" borderId="0" xfId="0" applyFont="1" applyFill="1" applyBorder="1" applyAlignment="1">
      <alignment horizontal="center" vertical="center"/>
    </xf>
    <xf numFmtId="0" fontId="29" fillId="2" borderId="0" xfId="0" applyFont="1" applyFill="1" applyBorder="1" applyAlignment="1">
      <alignment horizontal="center" vertical="center" textRotation="180"/>
    </xf>
    <xf numFmtId="0" fontId="28" fillId="2" borderId="0" xfId="0" applyFont="1" applyFill="1" applyBorder="1" applyAlignment="1">
      <alignment horizontal="center" vertical="center"/>
    </xf>
    <xf numFmtId="0" fontId="31" fillId="2" borderId="0" xfId="0" applyFont="1" applyFill="1" applyBorder="1"/>
    <xf numFmtId="0" fontId="29" fillId="2" borderId="0" xfId="0" applyFont="1" applyFill="1" applyBorder="1" applyAlignment="1">
      <alignment horizontal="center" vertical="center" textRotation="180"/>
    </xf>
    <xf numFmtId="0" fontId="16" fillId="2" borderId="0" xfId="0" applyFont="1" applyFill="1" applyBorder="1" applyAlignment="1">
      <alignment horizontal="left"/>
    </xf>
    <xf numFmtId="0" fontId="16" fillId="2" borderId="0" xfId="0" applyFont="1" applyFill="1" applyBorder="1" applyAlignment="1">
      <alignment horizontal="center" vertical="center" textRotation="180"/>
    </xf>
    <xf numFmtId="0" fontId="19" fillId="2" borderId="0" xfId="0" applyFont="1" applyFill="1" applyBorder="1" applyAlignment="1">
      <alignment horizontal="center" vertical="center" wrapText="1"/>
    </xf>
    <xf numFmtId="0" fontId="19" fillId="2" borderId="0" xfId="0" applyFont="1" applyFill="1" applyBorder="1" applyAlignment="1">
      <alignment horizontal="center" vertical="center"/>
    </xf>
    <xf numFmtId="0" fontId="16" fillId="2" borderId="0" xfId="0" applyFont="1" applyFill="1" applyBorder="1" applyAlignment="1">
      <alignment horizontal="left"/>
    </xf>
    <xf numFmtId="0" fontId="16" fillId="2" borderId="0" xfId="2" applyFont="1" applyFill="1" applyBorder="1" applyAlignment="1">
      <alignment vertical="center"/>
    </xf>
    <xf numFmtId="0" fontId="16" fillId="2" borderId="0" xfId="2" applyFont="1" applyFill="1" applyBorder="1" applyAlignment="1">
      <alignment horizontal="center" vertical="center"/>
    </xf>
    <xf numFmtId="0" fontId="56" fillId="2" borderId="0" xfId="0" applyFont="1" applyFill="1" applyBorder="1" applyAlignment="1">
      <alignment horizontal="center" vertical="center" wrapText="1"/>
    </xf>
    <xf numFmtId="2" fontId="16" fillId="2" borderId="0" xfId="0" applyNumberFormat="1" applyFont="1" applyFill="1" applyBorder="1" applyAlignment="1">
      <alignment horizontal="center" vertical="center"/>
    </xf>
    <xf numFmtId="2" fontId="64" fillId="2" borderId="0" xfId="0" applyNumberFormat="1" applyFont="1" applyFill="1" applyBorder="1" applyAlignment="1">
      <alignment horizontal="right"/>
    </xf>
    <xf numFmtId="0" fontId="28" fillId="2" borderId="0" xfId="0" applyFont="1" applyFill="1" applyBorder="1"/>
    <xf numFmtId="0" fontId="31" fillId="2" borderId="0" xfId="0" applyFont="1" applyFill="1" applyBorder="1" applyAlignment="1">
      <alignment horizontal="center" vertical="center"/>
    </xf>
    <xf numFmtId="0" fontId="16" fillId="2" borderId="0" xfId="0" applyFont="1" applyFill="1" applyBorder="1" applyAlignment="1">
      <alignment horizontal="center"/>
    </xf>
    <xf numFmtId="2" fontId="65" fillId="2" borderId="0" xfId="0" applyNumberFormat="1" applyFont="1" applyFill="1" applyBorder="1" applyAlignment="1">
      <alignment horizontal="right" vertical="center"/>
    </xf>
    <xf numFmtId="2" fontId="31" fillId="2" borderId="0" xfId="0" applyNumberFormat="1" applyFont="1" applyFill="1" applyBorder="1" applyAlignment="1">
      <alignment horizontal="center" vertical="center"/>
    </xf>
    <xf numFmtId="2" fontId="16" fillId="2" borderId="0" xfId="0" applyNumberFormat="1" applyFont="1" applyFill="1" applyBorder="1"/>
    <xf numFmtId="0" fontId="16" fillId="2" borderId="0" xfId="0" applyFont="1" applyFill="1" applyBorder="1" applyAlignment="1">
      <alignment horizontal="right" vertical="center"/>
    </xf>
    <xf numFmtId="2" fontId="16" fillId="2" borderId="0" xfId="0" applyNumberFormat="1" applyFont="1" applyFill="1" applyBorder="1" applyAlignment="1">
      <alignment horizontal="left" vertical="center"/>
    </xf>
    <xf numFmtId="179" fontId="16" fillId="2" borderId="0" xfId="0" applyNumberFormat="1" applyFont="1" applyFill="1" applyBorder="1" applyAlignment="1">
      <alignment horizontal="center" vertical="center"/>
    </xf>
    <xf numFmtId="0" fontId="16" fillId="2" borderId="0" xfId="0" applyFont="1" applyFill="1" applyBorder="1" applyAlignment="1">
      <alignment horizontal="center"/>
    </xf>
    <xf numFmtId="0" fontId="66" fillId="2" borderId="0" xfId="0" applyFont="1" applyFill="1" applyBorder="1" applyAlignment="1">
      <alignment horizontal="left" vertical="center" wrapText="1"/>
    </xf>
    <xf numFmtId="16" fontId="16" fillId="2" borderId="0" xfId="0" applyNumberFormat="1" applyFont="1" applyFill="1" applyBorder="1" applyAlignment="1">
      <alignment horizontal="center" vertical="center"/>
    </xf>
    <xf numFmtId="0" fontId="66" fillId="2" borderId="0" xfId="0" applyFont="1" applyFill="1" applyBorder="1" applyAlignment="1">
      <alignment horizontal="left" vertical="center"/>
    </xf>
    <xf numFmtId="179" fontId="16" fillId="2" borderId="0" xfId="0" applyNumberFormat="1" applyFont="1" applyFill="1" applyBorder="1" applyAlignment="1">
      <alignment horizontal="center" vertical="center"/>
    </xf>
    <xf numFmtId="0" fontId="26" fillId="2" borderId="0" xfId="0" applyFont="1" applyFill="1" applyBorder="1" applyAlignment="1">
      <alignment horizontal="center" vertical="center"/>
    </xf>
    <xf numFmtId="0" fontId="16" fillId="2" borderId="0" xfId="0" applyFont="1" applyFill="1" applyBorder="1" applyAlignment="1">
      <alignment horizontal="left" vertical="center" wrapText="1"/>
    </xf>
    <xf numFmtId="0" fontId="64" fillId="2" borderId="0" xfId="0" applyFont="1" applyFill="1" applyBorder="1"/>
    <xf numFmtId="2" fontId="16" fillId="2" borderId="0" xfId="0" applyNumberFormat="1" applyFont="1" applyFill="1" applyBorder="1" applyAlignment="1">
      <alignment horizontal="right" vertical="center"/>
    </xf>
    <xf numFmtId="2" fontId="16" fillId="2" borderId="0" xfId="0" applyNumberFormat="1" applyFont="1" applyFill="1" applyBorder="1" applyAlignment="1">
      <alignment horizontal="right" vertical="center"/>
    </xf>
    <xf numFmtId="0" fontId="31" fillId="2" borderId="0" xfId="0" applyFont="1" applyFill="1" applyBorder="1" applyAlignment="1">
      <alignment horizontal="center" vertical="center"/>
    </xf>
    <xf numFmtId="0" fontId="19" fillId="2" borderId="0" xfId="0" applyFont="1" applyFill="1" applyBorder="1" applyAlignment="1">
      <alignment horizontal="center" vertical="center"/>
    </xf>
    <xf numFmtId="2" fontId="16" fillId="2" borderId="0" xfId="0" applyNumberFormat="1" applyFont="1" applyFill="1" applyBorder="1" applyAlignment="1">
      <alignment horizontal="center" vertical="center"/>
    </xf>
    <xf numFmtId="2" fontId="16" fillId="2" borderId="0" xfId="0" applyNumberFormat="1" applyFont="1" applyFill="1" applyBorder="1" applyAlignment="1">
      <alignment horizontal="left"/>
    </xf>
    <xf numFmtId="0" fontId="16" fillId="2" borderId="0" xfId="0" applyFont="1" applyFill="1" applyBorder="1" applyAlignment="1">
      <alignment vertical="center"/>
    </xf>
    <xf numFmtId="0" fontId="16" fillId="2" borderId="0" xfId="0" applyFont="1" applyFill="1" applyBorder="1" applyAlignment="1">
      <alignment horizontal="right" vertical="center"/>
    </xf>
    <xf numFmtId="0" fontId="67" fillId="2" borderId="0" xfId="0" applyFont="1" applyFill="1" applyBorder="1" applyAlignment="1">
      <alignment horizontal="right" vertical="center"/>
    </xf>
    <xf numFmtId="0" fontId="67" fillId="2" borderId="0" xfId="0" applyFont="1" applyFill="1" applyBorder="1" applyAlignment="1">
      <alignment horizontal="center" vertical="center"/>
    </xf>
    <xf numFmtId="0" fontId="67" fillId="2" borderId="0" xfId="0" applyFont="1" applyFill="1" applyBorder="1" applyAlignment="1">
      <alignment horizontal="center" vertical="center"/>
    </xf>
    <xf numFmtId="180" fontId="16" fillId="2" borderId="0" xfId="0" applyNumberFormat="1" applyFont="1" applyFill="1" applyBorder="1"/>
    <xf numFmtId="0" fontId="65" fillId="2" borderId="0" xfId="0" applyFont="1" applyFill="1" applyBorder="1" applyAlignment="1">
      <alignment horizontal="center" vertical="center"/>
    </xf>
    <xf numFmtId="0" fontId="19" fillId="2" borderId="0" xfId="0" applyFont="1" applyFill="1" applyBorder="1" applyAlignment="1">
      <alignment vertical="center"/>
    </xf>
    <xf numFmtId="0" fontId="28" fillId="2" borderId="0" xfId="0" applyFont="1" applyFill="1" applyBorder="1"/>
    <xf numFmtId="0" fontId="19" fillId="2" borderId="0" xfId="0" applyFont="1" applyFill="1" applyBorder="1" applyAlignment="1">
      <alignment vertical="center"/>
    </xf>
    <xf numFmtId="0" fontId="68" fillId="2" borderId="0" xfId="0" applyFont="1" applyFill="1" applyBorder="1" applyAlignment="1">
      <alignment horizontal="center" vertical="center"/>
    </xf>
    <xf numFmtId="0" fontId="64" fillId="2" borderId="0" xfId="0" applyFont="1" applyFill="1" applyBorder="1" applyAlignment="1">
      <alignment horizontal="center"/>
    </xf>
    <xf numFmtId="0" fontId="28" fillId="2" borderId="0" xfId="0" applyFont="1" applyFill="1" applyBorder="1" applyAlignment="1">
      <alignment horizontal="center" vertical="center" textRotation="90" wrapText="1"/>
    </xf>
    <xf numFmtId="0" fontId="64" fillId="2" borderId="0" xfId="0" applyFont="1" applyFill="1" applyBorder="1" applyAlignment="1">
      <alignment horizontal="center" vertical="center"/>
    </xf>
    <xf numFmtId="0" fontId="28" fillId="2" borderId="0" xfId="0" applyFont="1" applyFill="1" applyBorder="1" applyAlignment="1">
      <alignment textRotation="90" wrapText="1"/>
    </xf>
    <xf numFmtId="0" fontId="31" fillId="2" borderId="0" xfId="0" applyFont="1" applyFill="1" applyBorder="1"/>
    <xf numFmtId="0" fontId="19" fillId="2" borderId="0" xfId="0" applyFont="1" applyFill="1" applyBorder="1" applyAlignment="1">
      <alignment horizontal="left" vertical="center"/>
    </xf>
    <xf numFmtId="0" fontId="69" fillId="2" borderId="0" xfId="0" applyFont="1" applyFill="1" applyBorder="1"/>
  </cellXfs>
  <cellStyles count="3">
    <cellStyle name="Lien hypertexte" xfId="1" builtinId="8"/>
    <cellStyle name="Normal" xfId="0" builtinId="0"/>
    <cellStyle name="Normal 2" xfId="2" xr:uid="{C10FA178-B2DE-408B-86E8-0B0073584F79}"/>
  </cellStyles>
  <dxfs count="180">
    <dxf>
      <font>
        <b/>
        <i val="0"/>
        <color theme="0"/>
      </font>
      <fill>
        <patternFill>
          <bgColor rgb="FFFF0000"/>
        </patternFill>
      </fill>
    </dxf>
    <dxf>
      <font>
        <b val="0"/>
        <i val="0"/>
        <color theme="0"/>
      </font>
      <fill>
        <patternFill>
          <bgColor theme="9" tint="-0.24994659260841701"/>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ill>
        <patternFill>
          <bgColor theme="9" tint="0.79998168889431442"/>
        </patternFill>
      </fill>
    </dxf>
    <dxf>
      <fill>
        <patternFill>
          <bgColor theme="9" tint="0.79998168889431442"/>
        </patternFill>
      </fill>
    </dxf>
    <dxf>
      <font>
        <color theme="1" tint="0.499984740745262"/>
      </font>
      <fill>
        <patternFill>
          <bgColor theme="1" tint="0.499984740745262"/>
        </patternFill>
      </fill>
    </dxf>
    <dxf>
      <font>
        <b/>
        <i val="0"/>
        <color rgb="FFFF0000"/>
      </font>
    </dxf>
    <dxf>
      <fill>
        <patternFill>
          <bgColor theme="8" tint="0.79998168889431442"/>
        </patternFill>
      </fill>
    </dxf>
    <dxf>
      <fill>
        <patternFill>
          <bgColor theme="5" tint="0.59996337778862885"/>
        </patternFill>
      </fill>
    </dxf>
    <dxf>
      <font>
        <b val="0"/>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0000"/>
      </font>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rgb="FFFF0000"/>
      </font>
    </dxf>
    <dxf>
      <font>
        <b/>
        <i val="0"/>
        <color theme="5" tint="-0.24994659260841701"/>
      </font>
    </dxf>
    <dxf>
      <font>
        <b/>
        <i val="0"/>
        <color theme="5" tint="-0.24994659260841701"/>
      </font>
    </dxf>
    <dxf>
      <font>
        <b/>
        <i val="0"/>
        <color rgb="FFFF0000"/>
      </font>
    </dxf>
    <dxf>
      <font>
        <b/>
        <i val="0"/>
        <color theme="5" tint="-0.24994659260841701"/>
      </font>
    </dxf>
    <dxf>
      <font>
        <b/>
        <i val="0"/>
        <color rgb="FFFF0000"/>
      </font>
    </dxf>
    <dxf>
      <font>
        <b/>
        <i val="0"/>
        <color theme="5" tint="-0.24994659260841701"/>
      </font>
    </dxf>
    <dxf>
      <font>
        <b/>
        <i val="0"/>
        <color rgb="FFFF0000"/>
      </font>
      <fill>
        <patternFill>
          <bgColor theme="0"/>
        </patternFill>
      </fill>
    </dxf>
    <dxf>
      <font>
        <b/>
        <i val="0"/>
        <color theme="5" tint="-0.24994659260841701"/>
      </font>
    </dxf>
    <dxf>
      <font>
        <b/>
        <i val="0"/>
        <color rgb="FFFF0000"/>
      </font>
      <fill>
        <patternFill>
          <bgColor theme="0"/>
        </patternFill>
      </fill>
    </dxf>
    <dxf>
      <font>
        <b/>
        <i val="0"/>
        <color theme="5" tint="-0.24994659260841701"/>
      </font>
    </dxf>
    <dxf>
      <font>
        <b/>
        <i val="0"/>
        <color rgb="FFFF0000"/>
      </font>
      <fill>
        <patternFill>
          <bgColor theme="0"/>
        </patternFill>
      </fill>
    </dxf>
    <dxf>
      <font>
        <b/>
        <i val="0"/>
        <color theme="5" tint="-0.24994659260841701"/>
      </font>
    </dxf>
    <dxf>
      <font>
        <b/>
        <i val="0"/>
        <color rgb="FFFF0000"/>
      </font>
      <fill>
        <patternFill>
          <bgColor theme="0"/>
        </patternFill>
      </fill>
    </dxf>
    <dxf>
      <font>
        <b/>
        <i val="0"/>
        <color theme="5" tint="-0.24994659260841701"/>
      </font>
    </dxf>
    <dxf>
      <font>
        <b/>
        <i val="0"/>
        <color rgb="FFFF0000"/>
      </font>
      <fill>
        <patternFill>
          <bgColor theme="0"/>
        </patternFill>
      </fill>
    </dxf>
    <dxf>
      <font>
        <b/>
        <i val="0"/>
        <color theme="5" tint="-0.24994659260841701"/>
      </font>
    </dxf>
    <dxf>
      <font>
        <b/>
        <i val="0"/>
        <color rgb="FFFF0000"/>
      </font>
    </dxf>
    <dxf>
      <font>
        <b/>
        <i val="0"/>
        <color theme="5" tint="-0.24994659260841701"/>
      </font>
    </dxf>
    <dxf>
      <font>
        <b/>
        <i val="0"/>
        <color rgb="FFFF0000"/>
      </font>
    </dxf>
    <dxf>
      <font>
        <b/>
        <i val="0"/>
        <color theme="5" tint="-0.24994659260841701"/>
      </font>
    </dxf>
    <dxf>
      <font>
        <b/>
        <i val="0"/>
        <color rgb="FFFF0000"/>
      </font>
      <fill>
        <patternFill>
          <bgColor theme="0"/>
        </patternFill>
      </fill>
    </dxf>
    <dxf>
      <font>
        <b/>
        <i val="0"/>
        <color theme="5" tint="-0.24994659260841701"/>
      </font>
    </dxf>
    <dxf>
      <font>
        <b/>
        <i val="0"/>
        <color rgb="FFFF0000"/>
      </font>
      <fill>
        <patternFill>
          <bgColor theme="0"/>
        </patternFill>
      </fill>
    </dxf>
    <dxf>
      <font>
        <b/>
        <i val="0"/>
        <color theme="5" tint="-0.24994659260841701"/>
      </font>
    </dxf>
    <dxf>
      <font>
        <b/>
        <i val="0"/>
        <color rgb="FFFF0000"/>
      </font>
      <fill>
        <patternFill>
          <bgColor theme="0"/>
        </patternFill>
      </fill>
    </dxf>
    <dxf>
      <font>
        <b/>
        <i val="0"/>
        <color theme="5" tint="-0.24994659260841701"/>
      </font>
    </dxf>
    <dxf>
      <font>
        <b/>
        <i val="0"/>
        <color rgb="FFFF0000"/>
      </font>
      <fill>
        <patternFill>
          <bgColor theme="0"/>
        </patternFill>
      </fill>
    </dxf>
    <dxf>
      <font>
        <b/>
        <i val="0"/>
        <color theme="5" tint="-0.24994659260841701"/>
      </font>
    </dxf>
    <dxf>
      <font>
        <b/>
        <i val="0"/>
        <color rgb="FFFF0000"/>
      </font>
      <fill>
        <patternFill>
          <bgColor theme="0"/>
        </patternFill>
      </fill>
    </dxf>
    <dxf>
      <font>
        <b/>
        <i val="0"/>
        <color theme="5" tint="-0.24994659260841701"/>
      </font>
    </dxf>
    <dxf>
      <font>
        <b/>
        <i val="0"/>
        <color rgb="FFFF0000"/>
      </font>
    </dxf>
    <dxf>
      <font>
        <color theme="1"/>
      </font>
      <fill>
        <patternFill>
          <bgColor theme="7" tint="0.59996337778862885"/>
        </patternFill>
      </fill>
    </dxf>
    <dxf>
      <font>
        <b/>
        <i val="0"/>
        <color theme="0"/>
      </font>
      <fill>
        <patternFill>
          <bgColor theme="5"/>
        </patternFill>
      </fill>
    </dxf>
    <dxf>
      <font>
        <b/>
        <i val="0"/>
        <color theme="0"/>
      </font>
      <fill>
        <patternFill>
          <bgColor rgb="FFFF0000"/>
        </patternFill>
      </fill>
    </dxf>
    <dxf>
      <font>
        <b/>
        <i val="0"/>
        <color theme="5" tint="-0.24994659260841701"/>
      </font>
    </dxf>
    <dxf>
      <font>
        <b/>
        <i val="0"/>
        <color rgb="FFFF0000"/>
      </font>
    </dxf>
    <dxf>
      <font>
        <b/>
        <i val="0"/>
        <color theme="5" tint="-0.24994659260841701"/>
      </font>
    </dxf>
    <dxf>
      <font>
        <b/>
        <i val="0"/>
        <color rgb="FFFF0000"/>
      </font>
    </dxf>
    <dxf>
      <font>
        <b/>
        <i val="0"/>
        <color theme="5" tint="-0.24994659260841701"/>
      </font>
    </dxf>
    <dxf>
      <font>
        <b/>
        <i val="0"/>
        <color rgb="FFFF0000"/>
      </font>
    </dxf>
    <dxf>
      <font>
        <b/>
        <i val="0"/>
        <color theme="5" tint="-0.24994659260841701"/>
      </font>
    </dxf>
    <dxf>
      <font>
        <b/>
        <i val="0"/>
        <color rgb="FFFF0000"/>
      </font>
    </dxf>
    <dxf>
      <font>
        <b/>
        <i val="0"/>
        <color theme="5" tint="-0.24994659260841701"/>
      </font>
    </dxf>
    <dxf>
      <font>
        <b/>
        <i val="0"/>
        <color rgb="FFFF0000"/>
      </font>
    </dxf>
    <dxf>
      <font>
        <b/>
        <i val="0"/>
        <color theme="5" tint="-0.24994659260841701"/>
      </font>
    </dxf>
    <dxf>
      <font>
        <b/>
        <i val="0"/>
        <color rgb="FFFF0000"/>
      </font>
    </dxf>
    <dxf>
      <font>
        <b/>
        <i val="0"/>
        <color rgb="FFFF0000"/>
      </font>
    </dxf>
    <dxf>
      <font>
        <b/>
        <i val="0"/>
        <color rgb="FFFF0000"/>
      </font>
    </dxf>
    <dxf>
      <font>
        <b/>
        <i val="0"/>
        <color theme="5" tint="-0.24994659260841701"/>
      </font>
    </dxf>
    <dxf>
      <font>
        <b/>
        <i val="0"/>
        <color rgb="FFFF0000"/>
      </font>
    </dxf>
    <dxf>
      <font>
        <color theme="1"/>
      </font>
      <fill>
        <patternFill>
          <bgColor theme="8" tint="0.79998168889431442"/>
        </patternFill>
      </fill>
    </dxf>
    <dxf>
      <font>
        <color theme="1" tint="0.499984740745262"/>
      </font>
      <fill>
        <patternFill>
          <bgColor theme="1" tint="0.499984740745262"/>
        </patternFill>
      </fill>
    </dxf>
    <dxf>
      <font>
        <color rgb="FFFF0000"/>
      </font>
      <fill>
        <patternFill>
          <bgColor theme="8" tint="0.79998168889431442"/>
        </patternFill>
      </fill>
    </dxf>
    <dxf>
      <fill>
        <patternFill>
          <bgColor theme="8" tint="0.79998168889431442"/>
        </patternFill>
      </fill>
    </dxf>
    <dxf>
      <font>
        <color theme="1" tint="0.499984740745262"/>
      </font>
      <fill>
        <patternFill>
          <bgColor theme="1" tint="0.499984740745262"/>
        </patternFill>
      </fill>
    </dxf>
    <dxf>
      <font>
        <b/>
        <i val="0"/>
        <color theme="8" tint="-0.24994659260841701"/>
      </font>
      <fill>
        <patternFill>
          <bgColor theme="0"/>
        </patternFill>
      </fill>
    </dxf>
    <dxf>
      <font>
        <b/>
        <i val="0"/>
        <color rgb="FFFF0000"/>
      </font>
      <fill>
        <patternFill>
          <bgColor theme="0"/>
        </patternFill>
      </fill>
    </dxf>
    <dxf>
      <font>
        <color theme="1"/>
      </font>
      <fill>
        <patternFill>
          <bgColor theme="8" tint="0.79998168889431442"/>
        </patternFill>
      </fill>
    </dxf>
    <dxf>
      <font>
        <color theme="1" tint="0.499984740745262"/>
      </font>
      <fill>
        <patternFill>
          <bgColor theme="1" tint="0.499984740745262"/>
        </patternFill>
      </fill>
    </dxf>
    <dxf>
      <fill>
        <patternFill>
          <bgColor theme="0"/>
        </patternFill>
      </fill>
    </dxf>
    <dxf>
      <fill>
        <patternFill>
          <bgColor theme="0"/>
        </patternFill>
      </fill>
    </dxf>
    <dxf>
      <fill>
        <patternFill>
          <bgColor theme="8" tint="0.79998168889431442"/>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ill>
        <patternFill>
          <bgColor theme="8" tint="0.79998168889431442"/>
        </patternFill>
      </fill>
    </dxf>
    <dxf>
      <font>
        <color theme="0" tint="-0.499984740745262"/>
      </font>
      <fill>
        <patternFill>
          <bgColor theme="0" tint="-0.499984740745262"/>
        </patternFill>
      </fill>
    </dxf>
    <dxf>
      <fill>
        <patternFill>
          <bgColor theme="7" tint="0.79998168889431442"/>
        </patternFill>
      </fill>
    </dxf>
    <dxf>
      <fill>
        <patternFill>
          <bgColor theme="8" tint="0.79998168889431442"/>
        </patternFill>
      </fill>
    </dxf>
    <dxf>
      <font>
        <color theme="1" tint="0.499984740745262"/>
      </font>
      <fill>
        <patternFill>
          <bgColor theme="1" tint="0.499984740745262"/>
        </patternFill>
      </fill>
    </dxf>
    <dxf>
      <fill>
        <patternFill>
          <bgColor theme="8" tint="0.79998168889431442"/>
        </patternFill>
      </fill>
    </dxf>
    <dxf>
      <font>
        <color theme="1" tint="0.499984740745262"/>
      </font>
      <fill>
        <patternFill>
          <bgColor theme="1" tint="0.499984740745262"/>
        </patternFill>
      </fill>
    </dxf>
    <dxf>
      <fill>
        <patternFill>
          <bgColor theme="8" tint="0.79998168889431442"/>
        </patternFill>
      </fill>
    </dxf>
    <dxf>
      <font>
        <color theme="1" tint="0.499984740745262"/>
      </font>
      <fill>
        <patternFill>
          <bgColor theme="1" tint="0.499984740745262"/>
        </patternFill>
      </fill>
    </dxf>
    <dxf>
      <fill>
        <patternFill>
          <bgColor theme="8" tint="0.79998168889431442"/>
        </patternFill>
      </fill>
    </dxf>
    <dxf>
      <font>
        <color theme="0"/>
      </font>
      <fill>
        <patternFill>
          <bgColor rgb="FFFF0000"/>
        </patternFill>
      </fill>
    </dxf>
    <dxf>
      <fill>
        <patternFill>
          <bgColor theme="8" tint="0.79998168889431442"/>
        </patternFill>
      </fill>
    </dxf>
    <dxf>
      <fill>
        <patternFill>
          <bgColor theme="8" tint="0.79998168889431442"/>
        </patternFill>
      </fill>
    </dxf>
    <dxf>
      <fill>
        <patternFill>
          <bgColor theme="9" tint="0.79998168889431442"/>
        </patternFill>
      </fill>
    </dxf>
    <dxf>
      <font>
        <b/>
        <i val="0"/>
        <color rgb="FFFF0000"/>
      </font>
    </dxf>
    <dxf>
      <font>
        <b/>
        <i val="0"/>
        <color rgb="FFFF0000"/>
      </font>
    </dxf>
    <dxf>
      <fill>
        <patternFill>
          <bgColor theme="9" tint="0.79998168889431442"/>
        </patternFill>
      </fill>
    </dxf>
    <dxf>
      <fill>
        <patternFill>
          <bgColor theme="9" tint="0.79998168889431442"/>
        </patternFill>
      </fill>
    </dxf>
    <dxf>
      <fill>
        <patternFill>
          <bgColor theme="9" tint="0.79998168889431442"/>
        </patternFill>
      </fill>
    </dxf>
    <dxf>
      <font>
        <color theme="1" tint="0.499984740745262"/>
      </font>
      <fill>
        <patternFill>
          <bgColor theme="1" tint="0.49998474074526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00B050"/>
      </font>
    </dxf>
    <dxf>
      <font>
        <b/>
        <i val="0"/>
        <color rgb="FFFF0000"/>
      </font>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unegamelleautop.fr/" TargetMode="External"/><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33251</xdr:colOff>
      <xdr:row>1</xdr:row>
      <xdr:rowOff>41564</xdr:rowOff>
    </xdr:from>
    <xdr:to>
      <xdr:col>1</xdr:col>
      <xdr:colOff>1446415</xdr:colOff>
      <xdr:row>4</xdr:row>
      <xdr:rowOff>199505</xdr:rowOff>
    </xdr:to>
    <xdr:pic>
      <xdr:nvPicPr>
        <xdr:cNvPr id="86345" name="Image 7">
          <a:extLst>
            <a:ext uri="{FF2B5EF4-FFF2-40B4-BE49-F238E27FC236}">
              <a16:creationId xmlns:a16="http://schemas.microsoft.com/office/drawing/2014/main" id="{75DF69F0-5F76-BD27-063D-9DE3FB19D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6389" r="11099"/>
        <a:stretch>
          <a:fillRect/>
        </a:stretch>
      </xdr:blipFill>
      <xdr:spPr bwMode="auto">
        <a:xfrm>
          <a:off x="74815" y="141316"/>
          <a:ext cx="1413163" cy="881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972589</xdr:colOff>
      <xdr:row>1</xdr:row>
      <xdr:rowOff>49876</xdr:rowOff>
    </xdr:from>
    <xdr:to>
      <xdr:col>11</xdr:col>
      <xdr:colOff>1354975</xdr:colOff>
      <xdr:row>4</xdr:row>
      <xdr:rowOff>224444</xdr:rowOff>
    </xdr:to>
    <xdr:pic>
      <xdr:nvPicPr>
        <xdr:cNvPr id="86346" name="Image 8">
          <a:extLst>
            <a:ext uri="{FF2B5EF4-FFF2-40B4-BE49-F238E27FC236}">
              <a16:creationId xmlns:a16="http://schemas.microsoft.com/office/drawing/2014/main" id="{3F3E4178-C12B-BDD0-034B-DA44BF8377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86" t="11667" r="5046" b="16666"/>
        <a:stretch>
          <a:fillRect/>
        </a:stretch>
      </xdr:blipFill>
      <xdr:spPr bwMode="auto">
        <a:xfrm>
          <a:off x="13167360" y="149629"/>
          <a:ext cx="1920240" cy="89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473825</xdr:colOff>
      <xdr:row>35</xdr:row>
      <xdr:rowOff>157942</xdr:rowOff>
    </xdr:from>
    <xdr:to>
      <xdr:col>11</xdr:col>
      <xdr:colOff>1097280</xdr:colOff>
      <xdr:row>38</xdr:row>
      <xdr:rowOff>282633</xdr:rowOff>
    </xdr:to>
    <xdr:pic>
      <xdr:nvPicPr>
        <xdr:cNvPr id="86347" name="Image 12" descr="http://www.unegamelleautop.fr">
          <a:hlinkClick xmlns:r="http://schemas.openxmlformats.org/officeDocument/2006/relationships" r:id="rId3"/>
          <a:extLst>
            <a:ext uri="{FF2B5EF4-FFF2-40B4-BE49-F238E27FC236}">
              <a16:creationId xmlns:a16="http://schemas.microsoft.com/office/drawing/2014/main" id="{0694A2B5-D104-552D-5482-7A348FC4C30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668596" y="10415847"/>
          <a:ext cx="2161309" cy="1072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374073</xdr:colOff>
      <xdr:row>38</xdr:row>
      <xdr:rowOff>74815</xdr:rowOff>
    </xdr:from>
    <xdr:to>
      <xdr:col>4</xdr:col>
      <xdr:colOff>182880</xdr:colOff>
      <xdr:row>46</xdr:row>
      <xdr:rowOff>16625</xdr:rowOff>
    </xdr:to>
    <xdr:pic>
      <xdr:nvPicPr>
        <xdr:cNvPr id="86348" name="Image 13" descr="http://www.unegamelleautop.fr">
          <a:hlinkClick xmlns:r="http://schemas.openxmlformats.org/officeDocument/2006/relationships" r:id="rId3"/>
          <a:extLst>
            <a:ext uri="{FF2B5EF4-FFF2-40B4-BE49-F238E27FC236}">
              <a16:creationId xmlns:a16="http://schemas.microsoft.com/office/drawing/2014/main" id="{426BD7EF-0634-65A0-0B10-868D0874B2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5636" y="11280371"/>
          <a:ext cx="4073237" cy="2468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schemeClr>
        </a:solidFill>
        <a:ln>
          <a:solidFill>
            <a:schemeClr val="accent1"/>
          </a:solidFill>
        </a:ln>
      </a:spPr>
      <a:bodyPr vertOverflow="clip" horzOverflow="clip" rtlCol="0" anchor="t"/>
      <a:lstStyle>
        <a:defPPr algn="l">
          <a:defRPr sz="1100" b="0" i="0" u="none" strike="noStrike">
            <a:solidFill>
              <a:srgbClr val="000000"/>
            </a:solidFill>
            <a:latin typeface="Calibri"/>
            <a:ea typeface="Gill Sans" charset="0"/>
            <a:cs typeface="Calibri"/>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unegamelleautop.fr/" TargetMode="External"/><Relationship Id="rId7" Type="http://schemas.openxmlformats.org/officeDocument/2006/relationships/hyperlink" Target="https://www.unegamelleautop.fr/" TargetMode="External"/><Relationship Id="rId2" Type="http://schemas.openxmlformats.org/officeDocument/2006/relationships/hyperlink" Target="https://www.unegamelleautop.fr/" TargetMode="External"/><Relationship Id="rId1" Type="http://schemas.openxmlformats.org/officeDocument/2006/relationships/hyperlink" Target="https://www.facebook.com/ToutSavoirSurAlimentationChienChat/" TargetMode="External"/><Relationship Id="rId6" Type="http://schemas.openxmlformats.org/officeDocument/2006/relationships/hyperlink" Target="https://www.unegamelleautop.fr/" TargetMode="External"/><Relationship Id="rId5" Type="http://schemas.openxmlformats.org/officeDocument/2006/relationships/hyperlink" Target="https://www.unegamelleautop.fr/" TargetMode="External"/><Relationship Id="rId4" Type="http://schemas.openxmlformats.org/officeDocument/2006/relationships/hyperlink" Target="https://pro.anses.fr/tableciqual/"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BFB5-CFF7-43C8-A69E-157442E0785D}">
  <sheetPr codeName="Feuil1"/>
  <dimension ref="A1:DQ202"/>
  <sheetViews>
    <sheetView tabSelected="1" zoomScale="80" zoomScaleNormal="80" workbookViewId="0">
      <selection activeCell="C15" sqref="C15"/>
    </sheetView>
  </sheetViews>
  <sheetFormatPr baseColWidth="10" defaultRowHeight="18.350000000000001"/>
  <cols>
    <col min="1" max="1" width="0.5546875" style="4" customWidth="1"/>
    <col min="2" max="2" width="19.6640625" style="5" customWidth="1"/>
    <col min="3" max="3" width="19.6640625" style="4" customWidth="1"/>
    <col min="4" max="4" width="17.6640625" style="4" customWidth="1"/>
    <col min="5" max="5" width="2.6640625" style="4" customWidth="1"/>
    <col min="6" max="12" width="20.5546875" style="4" customWidth="1"/>
    <col min="13" max="17" width="15.6640625" style="9" customWidth="1"/>
    <col min="18" max="21" width="15.6640625" style="9" hidden="1" customWidth="1"/>
    <col min="22" max="22" width="15.6640625" style="227" hidden="1" customWidth="1"/>
    <col min="23" max="23" width="25.33203125" style="227" hidden="1" customWidth="1"/>
    <col min="24" max="24" width="42.5546875" style="227" hidden="1" customWidth="1"/>
    <col min="25" max="25" width="18.44140625" style="227" hidden="1" customWidth="1"/>
    <col min="26" max="26" width="27.6640625" style="227" hidden="1" customWidth="1"/>
    <col min="27" max="27" width="19.109375" style="227" hidden="1" customWidth="1"/>
    <col min="28" max="28" width="18.33203125" style="227" hidden="1" customWidth="1"/>
    <col min="29" max="29" width="10.6640625" style="227" hidden="1" customWidth="1"/>
    <col min="30" max="30" width="34.33203125" style="227" hidden="1" customWidth="1"/>
    <col min="31" max="31" width="25.6640625" style="227" hidden="1" customWidth="1"/>
    <col min="32" max="32" width="12" style="227" hidden="1" customWidth="1"/>
    <col min="33" max="37" width="12.6640625" style="227" hidden="1" customWidth="1"/>
    <col min="38" max="38" width="14.77734375" style="227" hidden="1" customWidth="1"/>
    <col min="39" max="39" width="33.88671875" style="227" hidden="1" customWidth="1"/>
    <col min="40" max="40" width="26.88671875" style="227" hidden="1" customWidth="1"/>
    <col min="41" max="41" width="11.5546875" style="227" hidden="1" customWidth="1"/>
    <col min="42" max="43" width="16.77734375" style="227" hidden="1" customWidth="1"/>
    <col min="44" max="44" width="18.88671875" style="227" hidden="1" customWidth="1"/>
    <col min="45" max="45" width="43.6640625" style="227" hidden="1" customWidth="1"/>
    <col min="46" max="46" width="31.44140625" style="227" hidden="1" customWidth="1"/>
    <col min="47" max="48" width="10.6640625" style="227" hidden="1" customWidth="1"/>
    <col min="49" max="49" width="34.33203125" style="227" hidden="1" customWidth="1"/>
    <col min="50" max="50" width="21.33203125" style="227" hidden="1" customWidth="1"/>
    <col min="51" max="51" width="31.109375" style="227" hidden="1" customWidth="1"/>
    <col min="52" max="53" width="11.5546875" style="227" hidden="1" customWidth="1"/>
    <col min="54" max="54" width="13.77734375" style="227" hidden="1" customWidth="1"/>
    <col min="55" max="56" width="11.5546875" style="227" hidden="1" customWidth="1"/>
    <col min="57" max="57" width="13.77734375" style="227" hidden="1" customWidth="1"/>
    <col min="58" max="58" width="11.5546875" style="227" hidden="1" customWidth="1"/>
    <col min="59" max="59" width="14.5546875" style="227" hidden="1" customWidth="1"/>
    <col min="60" max="62" width="35.77734375" style="227" hidden="1" customWidth="1"/>
    <col min="63" max="64" width="30.77734375" style="227" hidden="1" customWidth="1"/>
    <col min="65" max="66" width="11.5546875" style="227" hidden="1" customWidth="1"/>
    <col min="67" max="67" width="21.5546875" style="227" hidden="1" customWidth="1"/>
    <col min="68" max="68" width="33.88671875" style="227" hidden="1" customWidth="1"/>
    <col min="69" max="69" width="19.77734375" style="227" hidden="1" customWidth="1"/>
    <col min="70" max="70" width="20.77734375" style="227" hidden="1" customWidth="1"/>
    <col min="71" max="73" width="11.5546875" style="227" hidden="1" customWidth="1"/>
    <col min="74" max="74" width="32.88671875" style="227" hidden="1" customWidth="1"/>
    <col min="75" max="76" width="10.6640625" style="227" hidden="1" customWidth="1"/>
    <col min="77" max="77" width="68.5546875" style="227" hidden="1" customWidth="1"/>
    <col min="78" max="78" width="6.6640625" style="227" hidden="1" customWidth="1"/>
    <col min="79" max="80" width="20.6640625" style="227" hidden="1" customWidth="1"/>
    <col min="81" max="81" width="11.5546875" style="227" hidden="1" customWidth="1"/>
    <col min="82" max="82" width="29.88671875" style="227" hidden="1" customWidth="1"/>
    <col min="83" max="83" width="22.6640625" style="227" hidden="1" customWidth="1"/>
    <col min="84" max="85" width="20.6640625" style="227" hidden="1" customWidth="1"/>
    <col min="86" max="86" width="11.5546875" style="227" hidden="1" customWidth="1"/>
    <col min="87" max="87" width="36.88671875" style="227" hidden="1" customWidth="1"/>
    <col min="88" max="88" width="15.33203125" style="227" hidden="1" customWidth="1"/>
    <col min="89" max="93" width="20.6640625" style="227" hidden="1" customWidth="1"/>
    <col min="94" max="100" width="14.6640625" style="227" hidden="1" customWidth="1"/>
    <col min="101" max="102" width="12.6640625" style="227" hidden="1" customWidth="1"/>
    <col min="103" max="103" width="14.5546875" style="227" hidden="1" customWidth="1"/>
    <col min="104" max="104" width="13.44140625" style="227" hidden="1" customWidth="1"/>
    <col min="105" max="105" width="14.6640625" style="227" hidden="1" customWidth="1"/>
    <col min="106" max="107" width="13.5546875" style="227" hidden="1" customWidth="1"/>
    <col min="108" max="109" width="19.44140625" style="227" hidden="1" customWidth="1"/>
    <col min="110" max="110" width="21.6640625" style="227" hidden="1" customWidth="1"/>
    <col min="111" max="111" width="11.5546875" style="227" hidden="1" customWidth="1"/>
    <col min="112" max="115" width="30.6640625" style="226" hidden="1" customWidth="1"/>
    <col min="116" max="116" width="11.5546875" style="227" hidden="1" customWidth="1"/>
    <col min="117" max="118" width="30.6640625" style="227" hidden="1" customWidth="1"/>
    <col min="119" max="120" width="11.5546875" style="227" hidden="1" customWidth="1"/>
    <col min="121" max="121" width="11.5546875" style="1" hidden="1" customWidth="1"/>
    <col min="122" max="130" width="0" style="1" hidden="1" customWidth="1"/>
    <col min="131" max="16384" width="11.5546875" style="1"/>
  </cols>
  <sheetData>
    <row r="1" spans="1:118" ht="8.1999999999999993" customHeight="1">
      <c r="A1" s="32"/>
      <c r="B1" s="211"/>
      <c r="C1" s="212"/>
      <c r="D1" s="212"/>
      <c r="E1" s="212"/>
      <c r="F1" s="212"/>
      <c r="G1" s="212"/>
      <c r="H1" s="212"/>
      <c r="I1" s="32"/>
      <c r="J1" s="32"/>
      <c r="K1" s="32"/>
      <c r="L1" s="32"/>
      <c r="M1" s="36"/>
      <c r="N1" s="36"/>
      <c r="O1" s="36"/>
      <c r="P1" s="36"/>
      <c r="Q1" s="36"/>
      <c r="R1" s="8"/>
      <c r="S1" s="8"/>
      <c r="T1" s="8"/>
      <c r="U1" s="30"/>
      <c r="V1" s="245"/>
      <c r="AT1" s="226"/>
      <c r="AU1" s="226"/>
      <c r="DG1" s="245"/>
      <c r="DL1" s="246"/>
      <c r="DM1" s="246"/>
      <c r="DN1" s="246"/>
    </row>
    <row r="2" spans="1:118" ht="19" customHeight="1">
      <c r="A2" s="32"/>
      <c r="B2" s="189" t="s">
        <v>987</v>
      </c>
      <c r="C2" s="190"/>
      <c r="D2" s="190"/>
      <c r="E2" s="191"/>
      <c r="F2" s="191"/>
      <c r="G2" s="191"/>
      <c r="H2" s="191"/>
      <c r="I2" s="191"/>
      <c r="J2" s="191"/>
      <c r="K2" s="191"/>
      <c r="L2" s="192"/>
      <c r="M2" s="36"/>
      <c r="N2" s="36"/>
      <c r="O2" s="36"/>
      <c r="P2" s="36"/>
      <c r="Q2" s="36"/>
      <c r="R2" s="8"/>
      <c r="S2" s="8"/>
      <c r="T2" s="8"/>
      <c r="U2" s="8"/>
      <c r="W2" s="240" t="s">
        <v>89</v>
      </c>
      <c r="X2" s="226" t="s">
        <v>13</v>
      </c>
      <c r="Y2" s="226" t="s">
        <v>11</v>
      </c>
      <c r="Z2" s="226" t="s">
        <v>12</v>
      </c>
      <c r="AA2" s="226" t="s">
        <v>140</v>
      </c>
      <c r="AD2" s="247"/>
      <c r="AJ2" s="226"/>
      <c r="AK2" s="226"/>
      <c r="AM2" s="242" t="s">
        <v>397</v>
      </c>
      <c r="AN2" s="231"/>
      <c r="AO2" s="231"/>
      <c r="AP2" s="231"/>
      <c r="AQ2" s="231"/>
      <c r="AR2" s="231"/>
      <c r="AS2" s="238"/>
      <c r="AT2" s="226"/>
      <c r="AU2" s="226"/>
      <c r="AW2" s="242" t="s">
        <v>430</v>
      </c>
      <c r="AX2" s="231"/>
      <c r="AY2" s="231"/>
      <c r="BY2" s="242" t="s">
        <v>68</v>
      </c>
      <c r="BZ2" s="242"/>
      <c r="CA2" s="242"/>
      <c r="CB2" s="242"/>
      <c r="CC2" s="242"/>
      <c r="CD2" s="242"/>
      <c r="CE2" s="242"/>
      <c r="CF2" s="242"/>
      <c r="CG2" s="242"/>
      <c r="CH2" s="242"/>
      <c r="CI2" s="242"/>
      <c r="CJ2" s="242"/>
      <c r="CK2" s="242"/>
      <c r="CL2" s="242"/>
      <c r="CM2" s="248"/>
      <c r="CN2" s="248"/>
      <c r="CO2" s="238"/>
      <c r="CP2" s="238"/>
      <c r="CQ2" s="242" t="s">
        <v>770</v>
      </c>
      <c r="CR2" s="231"/>
      <c r="CS2" s="231"/>
      <c r="CT2" s="231"/>
      <c r="CU2" s="231"/>
      <c r="CV2" s="231"/>
      <c r="CW2" s="231"/>
      <c r="CX2" s="231"/>
      <c r="CY2" s="247"/>
      <c r="CZ2" s="247"/>
      <c r="DA2" s="247" t="s">
        <v>520</v>
      </c>
      <c r="DB2" s="247"/>
      <c r="DC2" s="247"/>
      <c r="DD2" s="247" t="s">
        <v>387</v>
      </c>
      <c r="DE2" s="247" t="s">
        <v>415</v>
      </c>
      <c r="DF2" s="226" t="s">
        <v>720</v>
      </c>
      <c r="DH2" s="226" t="s">
        <v>246</v>
      </c>
      <c r="DI2" s="226" t="s">
        <v>247</v>
      </c>
      <c r="DJ2" s="226" t="s">
        <v>248</v>
      </c>
      <c r="DK2" s="226" t="s">
        <v>249</v>
      </c>
      <c r="DL2" s="249" t="s">
        <v>251</v>
      </c>
      <c r="DM2" s="226" t="s">
        <v>253</v>
      </c>
      <c r="DN2" s="226" t="s">
        <v>254</v>
      </c>
    </row>
    <row r="3" spans="1:118" ht="19" customHeight="1">
      <c r="A3" s="32"/>
      <c r="B3" s="193"/>
      <c r="C3" s="194"/>
      <c r="D3" s="194"/>
      <c r="E3" s="195"/>
      <c r="F3" s="195"/>
      <c r="G3" s="195"/>
      <c r="H3" s="195"/>
      <c r="I3" s="195"/>
      <c r="J3" s="195"/>
      <c r="K3" s="195"/>
      <c r="L3" s="196"/>
      <c r="M3" s="36"/>
      <c r="N3" s="36"/>
      <c r="O3" s="36"/>
      <c r="P3" s="36"/>
      <c r="Q3" s="36"/>
      <c r="R3" s="8"/>
      <c r="S3" s="8"/>
      <c r="T3" s="8"/>
      <c r="U3" s="8"/>
      <c r="W3" s="241"/>
      <c r="X3" s="226" t="str">
        <f>IF($I$7=$AD$28,$I$9,"n/a")</f>
        <v>n/a</v>
      </c>
      <c r="Y3" s="226" t="str">
        <f>IF($I$7=$AD$28,$J$9,"n/a")</f>
        <v>n/a</v>
      </c>
      <c r="Z3" s="226" t="str">
        <f>IF($I$7=$AD$28,$K$9,IF($I$7=$AD$27,0,"n/a"))</f>
        <v>n/a</v>
      </c>
      <c r="AA3" s="226" t="str">
        <f>IF($I$7=$AD$28,$L$9,IF($X$45=2,VLOOKUP($I$7,$AD$24:$AL$28,9,0),"n/a"))</f>
        <v>n/a</v>
      </c>
      <c r="AD3" s="226"/>
      <c r="AE3" s="242" t="s">
        <v>329</v>
      </c>
      <c r="AF3" s="242"/>
      <c r="AG3" s="242"/>
      <c r="AH3" s="231"/>
      <c r="AI3" s="226"/>
      <c r="AJ3" s="226"/>
      <c r="AK3" s="226"/>
      <c r="AL3" s="226"/>
      <c r="AM3" s="243" t="s">
        <v>862</v>
      </c>
      <c r="AN3" s="243"/>
      <c r="AO3" s="243"/>
      <c r="AP3" s="243"/>
      <c r="AQ3" s="243"/>
      <c r="AR3" s="243"/>
      <c r="AS3" s="250"/>
      <c r="AT3" s="226"/>
      <c r="AU3" s="226"/>
      <c r="AV3" s="226"/>
      <c r="AW3" s="226" t="s">
        <v>14</v>
      </c>
      <c r="AX3" s="226" t="e">
        <f>($AZ$18*AX$8/100)+($W$24*AX$9/100)+($W$25*AX$10/100)+($W$26*AX$11/100)+($W$58*AX$6/100)+($W$64*AX$5/100)</f>
        <v>#VALUE!</v>
      </c>
      <c r="AY3" s="226" t="e">
        <f>($AZ$18*AY$8/100)+($W$24*AY$9/100)+($W$25*AY$10/100)+($W$26*AY$11/100)+($W$58*AY$6/100)+($W$64*AY$5/100)</f>
        <v>#VALUE!</v>
      </c>
      <c r="AZ3" s="226"/>
      <c r="BA3" s="226"/>
      <c r="BB3" s="242" t="s">
        <v>530</v>
      </c>
      <c r="BC3" s="231"/>
      <c r="BD3" s="231"/>
      <c r="BE3" s="238"/>
      <c r="BF3" s="238"/>
      <c r="BG3" s="238"/>
      <c r="BH3" s="238"/>
      <c r="BI3" s="238"/>
      <c r="BJ3" s="226"/>
      <c r="BK3" s="226"/>
      <c r="BL3" s="226"/>
      <c r="BM3" s="226"/>
      <c r="BN3" s="226"/>
      <c r="BO3" s="226"/>
      <c r="BP3" s="226"/>
      <c r="BQ3" s="226"/>
      <c r="BR3" s="226"/>
      <c r="BS3" s="226"/>
      <c r="BT3" s="226"/>
      <c r="BU3" s="226"/>
      <c r="BY3" s="231" t="s">
        <v>43</v>
      </c>
      <c r="BZ3" s="231"/>
      <c r="CA3" s="226" t="s">
        <v>147</v>
      </c>
      <c r="CB3" s="226" t="s">
        <v>148</v>
      </c>
      <c r="CD3" s="231" t="s">
        <v>44</v>
      </c>
      <c r="CE3" s="231"/>
      <c r="CF3" s="226" t="s">
        <v>147</v>
      </c>
      <c r="CG3" s="226" t="s">
        <v>148</v>
      </c>
      <c r="CI3" s="231" t="s">
        <v>48</v>
      </c>
      <c r="CJ3" s="231"/>
      <c r="CK3" s="226" t="s">
        <v>157</v>
      </c>
      <c r="CL3" s="226" t="s">
        <v>158</v>
      </c>
      <c r="CM3" s="226" t="s">
        <v>372</v>
      </c>
      <c r="CN3" s="226" t="s">
        <v>373</v>
      </c>
      <c r="CO3" s="226" t="s">
        <v>108</v>
      </c>
      <c r="CP3" s="226" t="s">
        <v>377</v>
      </c>
      <c r="CQ3" s="226" t="s">
        <v>113</v>
      </c>
      <c r="CR3" s="226" t="s">
        <v>112</v>
      </c>
      <c r="CS3" s="226" t="s">
        <v>114</v>
      </c>
      <c r="CT3" s="226" t="s">
        <v>115</v>
      </c>
      <c r="CU3" s="226" t="s">
        <v>116</v>
      </c>
      <c r="CV3" s="226" t="s">
        <v>117</v>
      </c>
      <c r="CW3" s="226" t="s">
        <v>106</v>
      </c>
      <c r="CX3" s="226" t="s">
        <v>105</v>
      </c>
      <c r="CY3" s="226" t="s">
        <v>507</v>
      </c>
      <c r="CZ3" s="226" t="s">
        <v>508</v>
      </c>
      <c r="DA3" s="226" t="s">
        <v>509</v>
      </c>
      <c r="DB3" s="226" t="s">
        <v>510</v>
      </c>
      <c r="DC3" s="226" t="s">
        <v>511</v>
      </c>
      <c r="DD3" s="226" t="s">
        <v>388</v>
      </c>
      <c r="DE3" s="226" t="s">
        <v>416</v>
      </c>
      <c r="DF3" s="226" t="s">
        <v>721</v>
      </c>
      <c r="DH3" s="226" t="str">
        <f>HLS!$A2</f>
        <v>Huile de Colza</v>
      </c>
      <c r="DI3" s="226" t="str">
        <f>LGS!$A2</f>
        <v>Aubergine - CUITE</v>
      </c>
      <c r="DJ3" s="226" t="str">
        <f>FCS!$A2</f>
        <v>Flocon d'avoine - CUIT</v>
      </c>
      <c r="DK3" s="226" t="str">
        <f>VDS!$A2</f>
        <v>Agneau, épaule maigre - CRUE</v>
      </c>
      <c r="DL3" s="251"/>
      <c r="DM3" s="226" t="str">
        <f>'OPT1'!$A2</f>
        <v>Aucun</v>
      </c>
      <c r="DN3" s="226" t="str">
        <f>'OPT2'!$A2</f>
        <v>Aucun</v>
      </c>
    </row>
    <row r="4" spans="1:118" ht="19" customHeight="1" thickBot="1">
      <c r="A4" s="32"/>
      <c r="B4" s="193"/>
      <c r="C4" s="194"/>
      <c r="D4" s="194"/>
      <c r="E4" s="195"/>
      <c r="F4" s="195"/>
      <c r="G4" s="195"/>
      <c r="H4" s="195"/>
      <c r="I4" s="195"/>
      <c r="J4" s="195"/>
      <c r="K4" s="195"/>
      <c r="L4" s="196"/>
      <c r="M4" s="36"/>
      <c r="N4" s="36"/>
      <c r="O4" s="36"/>
      <c r="P4" s="36"/>
      <c r="Q4" s="36"/>
      <c r="R4" s="8"/>
      <c r="S4" s="8"/>
      <c r="T4" s="8"/>
      <c r="U4" s="8"/>
      <c r="W4" s="241"/>
      <c r="X4" s="252" t="s">
        <v>76</v>
      </c>
      <c r="Y4" s="231"/>
      <c r="Z4" s="253">
        <f>IF($I$7=$AD$28,$X$3+$Y$3+$Z$3,100)</f>
        <v>100</v>
      </c>
      <c r="AD4" s="226"/>
      <c r="AE4" s="226" t="s">
        <v>327</v>
      </c>
      <c r="AF4" s="226">
        <v>8</v>
      </c>
      <c r="AG4" s="226">
        <v>6</v>
      </c>
      <c r="AH4" s="226">
        <v>4</v>
      </c>
      <c r="AI4" s="226"/>
      <c r="AJ4" s="226"/>
      <c r="AK4" s="226"/>
      <c r="AL4" s="226"/>
      <c r="AM4" s="243" t="s">
        <v>863</v>
      </c>
      <c r="AN4" s="243"/>
      <c r="AO4" s="243"/>
      <c r="AP4" s="243"/>
      <c r="AQ4" s="243"/>
      <c r="AR4" s="243"/>
      <c r="AS4" s="243"/>
      <c r="AT4" s="226"/>
      <c r="AU4" s="226"/>
      <c r="AV4" s="226"/>
      <c r="AW4" s="226" t="s">
        <v>36</v>
      </c>
      <c r="AX4" s="226" t="s">
        <v>427</v>
      </c>
      <c r="AY4" s="226" t="s">
        <v>428</v>
      </c>
      <c r="AZ4" s="226"/>
      <c r="BA4" s="226"/>
      <c r="BB4" s="226" t="s">
        <v>523</v>
      </c>
      <c r="BC4" s="226">
        <f>IF($I$14&lt;&gt;"",VLOOKUP($I$14,HLS!$A$2:$AC$100,21,0)/$X$101,0)</f>
        <v>0</v>
      </c>
      <c r="BD4" s="226"/>
      <c r="BE4" s="226" t="s">
        <v>527</v>
      </c>
      <c r="BF4" s="229" t="e">
        <f>($W$26/CTRL!G24)&amp;" "&amp;$X$26&amp;" ("&amp;$W$26&amp;" grammes)"</f>
        <v>#N/A</v>
      </c>
      <c r="BG4" s="226"/>
      <c r="BH4" s="226"/>
      <c r="BI4" s="254"/>
      <c r="BJ4" s="226"/>
      <c r="BK4" s="226"/>
      <c r="BL4" s="226"/>
      <c r="BM4" s="226"/>
      <c r="BN4" s="226"/>
      <c r="BO4" s="226"/>
      <c r="BP4" s="226"/>
      <c r="BQ4" s="226"/>
      <c r="BR4" s="226"/>
      <c r="BS4" s="226"/>
      <c r="BT4" s="226"/>
      <c r="BU4" s="226"/>
      <c r="BY4" s="255" t="s">
        <v>341</v>
      </c>
      <c r="BZ4" s="256">
        <v>1</v>
      </c>
      <c r="CA4" s="226">
        <v>0</v>
      </c>
      <c r="CB4" s="226">
        <v>0</v>
      </c>
      <c r="CD4" s="229" t="s">
        <v>885</v>
      </c>
      <c r="CE4" s="226">
        <v>0.9</v>
      </c>
      <c r="CF4" s="226">
        <v>1</v>
      </c>
      <c r="CG4" s="226">
        <v>0</v>
      </c>
      <c r="CI4" s="239" t="s">
        <v>49</v>
      </c>
      <c r="CJ4" s="226">
        <v>1</v>
      </c>
      <c r="CK4" s="226">
        <v>4</v>
      </c>
      <c r="CL4" s="226">
        <v>15</v>
      </c>
      <c r="CM4" s="226">
        <v>3.97</v>
      </c>
      <c r="CN4" s="226">
        <v>5.2</v>
      </c>
      <c r="CO4" s="226">
        <v>1.6</v>
      </c>
      <c r="CP4" s="226">
        <v>5.3</v>
      </c>
      <c r="CQ4" s="226">
        <v>35</v>
      </c>
      <c r="CR4" s="226">
        <v>8</v>
      </c>
      <c r="CS4" s="226">
        <v>40</v>
      </c>
      <c r="CT4" s="226">
        <v>11</v>
      </c>
      <c r="CU4" s="226">
        <v>1</v>
      </c>
      <c r="CV4" s="226">
        <v>14</v>
      </c>
      <c r="CW4" s="226">
        <v>2</v>
      </c>
      <c r="CX4" s="226">
        <v>8</v>
      </c>
      <c r="CY4" s="226">
        <v>1.4</v>
      </c>
      <c r="CZ4" s="226">
        <v>0.8</v>
      </c>
      <c r="DA4" s="226">
        <v>6</v>
      </c>
      <c r="DB4" s="226">
        <v>3.5</v>
      </c>
      <c r="DC4" s="226">
        <v>1</v>
      </c>
      <c r="DD4" s="226">
        <v>15</v>
      </c>
      <c r="DE4" s="226">
        <v>10</v>
      </c>
      <c r="DF4" s="226">
        <v>2</v>
      </c>
      <c r="DH4" s="226" t="str">
        <f>HLS!$A3</f>
        <v>Huile de Hareng</v>
      </c>
      <c r="DI4" s="226" t="str">
        <f>LGS!$A3</f>
        <v>Carotte - CRUE</v>
      </c>
      <c r="DJ4" s="226" t="str">
        <f>FCS!$A3</f>
        <v>Flocon de riz - CUIT</v>
      </c>
      <c r="DK4" s="226" t="str">
        <f>VDS!$A3</f>
        <v>Agneau, épaule maigre - CUITE</v>
      </c>
      <c r="DL4" s="251"/>
      <c r="DM4" s="226" t="str">
        <f>'OPT1'!$A3</f>
        <v>1 œuf entier</v>
      </c>
      <c r="DN4" s="226" t="str">
        <f>'OPT2'!$A3</f>
        <v>Simple</v>
      </c>
    </row>
    <row r="5" spans="1:118" ht="19" customHeight="1">
      <c r="A5" s="32"/>
      <c r="B5" s="197"/>
      <c r="C5" s="198"/>
      <c r="D5" s="198"/>
      <c r="E5" s="198"/>
      <c r="F5" s="198"/>
      <c r="G5" s="198"/>
      <c r="H5" s="198"/>
      <c r="I5" s="198"/>
      <c r="J5" s="198"/>
      <c r="K5" s="198"/>
      <c r="L5" s="199"/>
      <c r="M5" s="36"/>
      <c r="N5" s="36"/>
      <c r="O5" s="36"/>
      <c r="P5" s="36"/>
      <c r="Q5" s="36"/>
      <c r="R5" s="137"/>
      <c r="S5" s="138"/>
      <c r="T5" s="139"/>
      <c r="U5" s="139"/>
      <c r="W5" s="241"/>
      <c r="X5" s="257" t="s">
        <v>73</v>
      </c>
      <c r="Y5" s="226" t="s">
        <v>72</v>
      </c>
      <c r="Z5" s="226">
        <f>IF($AA$54=8,$AO$75,0)</f>
        <v>0</v>
      </c>
      <c r="AA5" s="253" t="s">
        <v>662</v>
      </c>
      <c r="AD5" s="226"/>
      <c r="AE5" s="226" t="s">
        <v>320</v>
      </c>
      <c r="AF5" s="226" t="e">
        <f>($Z$32*(1+($AF$4/100)))</f>
        <v>#VALUE!</v>
      </c>
      <c r="AG5" s="226" t="e">
        <f>($Z$32*(1+($AG$4/100)))</f>
        <v>#VALUE!</v>
      </c>
      <c r="AH5" s="226" t="e">
        <f>($Z$32*(1+($AH$4/100)))</f>
        <v>#VALUE!</v>
      </c>
      <c r="AI5" s="226"/>
      <c r="AJ5" s="226"/>
      <c r="AK5" s="226"/>
      <c r="AL5" s="226"/>
      <c r="AM5" s="243" t="s">
        <v>406</v>
      </c>
      <c r="AN5" s="243"/>
      <c r="AO5" s="243"/>
      <c r="AP5" s="243"/>
      <c r="AQ5" s="243"/>
      <c r="AR5" s="243"/>
      <c r="AS5" s="243"/>
      <c r="AT5" s="226"/>
      <c r="AU5" s="226"/>
      <c r="AV5" s="226"/>
      <c r="AW5" s="226" t="str">
        <f>IF($W$61=1,$G$11,"Pas d'œuf")</f>
        <v>Pas d'œuf</v>
      </c>
      <c r="AX5" s="226">
        <f>IF($W$61=1,VLOOKUP($G$11,'OPT1'!$A$2:$AC$100,15,0),0)</f>
        <v>0</v>
      </c>
      <c r="AY5" s="226">
        <f>IF($W$61=1,VLOOKUP($G$11,'OPT1'!$A$2:$AC$100,16,0),0)</f>
        <v>0</v>
      </c>
      <c r="AZ5" s="226"/>
      <c r="BA5" s="226"/>
      <c r="BB5" s="226" t="s">
        <v>524</v>
      </c>
      <c r="BC5" s="226">
        <f>$C$15</f>
        <v>0</v>
      </c>
      <c r="BD5" s="226"/>
      <c r="BE5" s="226" t="s">
        <v>528</v>
      </c>
      <c r="BF5" s="229" t="e">
        <f>$BC$6&amp;" "&amp;$X$26</f>
        <v>#N/A</v>
      </c>
      <c r="BG5" s="226"/>
      <c r="BH5" s="226"/>
      <c r="BI5" s="254"/>
      <c r="BJ5" s="226"/>
      <c r="BK5" s="226"/>
      <c r="BL5" s="226"/>
      <c r="BM5" s="226"/>
      <c r="BN5" s="226"/>
      <c r="BO5" s="226"/>
      <c r="BP5" s="226"/>
      <c r="BQ5" s="226"/>
      <c r="BR5" s="226"/>
      <c r="BS5" s="226"/>
      <c r="BT5" s="226"/>
      <c r="BU5" s="226"/>
      <c r="BY5" s="255" t="s">
        <v>534</v>
      </c>
      <c r="BZ5" s="256">
        <v>1</v>
      </c>
      <c r="CA5" s="256">
        <v>0</v>
      </c>
      <c r="CB5" s="256">
        <v>0</v>
      </c>
      <c r="CD5" s="229" t="s">
        <v>953</v>
      </c>
      <c r="CE5" s="226">
        <v>1</v>
      </c>
      <c r="CF5" s="226">
        <v>0.5</v>
      </c>
      <c r="CG5" s="226">
        <v>0.5</v>
      </c>
      <c r="CI5" s="239" t="s">
        <v>380</v>
      </c>
      <c r="CJ5" s="226">
        <v>1</v>
      </c>
      <c r="CK5" s="226">
        <v>5</v>
      </c>
      <c r="CL5" s="226">
        <v>13</v>
      </c>
      <c r="CM5" s="226">
        <v>3.97</v>
      </c>
      <c r="CN5" s="226">
        <v>5.2</v>
      </c>
      <c r="CO5" s="226">
        <v>1.4</v>
      </c>
      <c r="CP5" s="226">
        <v>5.3</v>
      </c>
      <c r="CQ5" s="226">
        <v>35</v>
      </c>
      <c r="CR5" s="226">
        <v>8</v>
      </c>
      <c r="CS5" s="226">
        <v>40</v>
      </c>
      <c r="CT5" s="226">
        <v>10</v>
      </c>
      <c r="CU5" s="226">
        <v>1</v>
      </c>
      <c r="CV5" s="226">
        <v>14</v>
      </c>
      <c r="CW5" s="226">
        <v>2</v>
      </c>
      <c r="CX5" s="226">
        <v>8</v>
      </c>
      <c r="CY5" s="226">
        <v>1.2</v>
      </c>
      <c r="CZ5" s="226">
        <v>0.6</v>
      </c>
      <c r="DA5" s="226">
        <v>6</v>
      </c>
      <c r="DB5" s="226">
        <v>3.25</v>
      </c>
      <c r="DC5" s="226">
        <v>1</v>
      </c>
      <c r="DD5" s="226">
        <v>15</v>
      </c>
      <c r="DE5" s="226">
        <v>10</v>
      </c>
      <c r="DF5" s="226">
        <v>2</v>
      </c>
      <c r="DH5" s="226" t="str">
        <f>HLS!$A4</f>
        <v>Huile de Sardine</v>
      </c>
      <c r="DI5" s="226" t="str">
        <f>LGS!$A4</f>
        <v>Carotte - CUITE</v>
      </c>
      <c r="DJ5" s="226" t="str">
        <f>FCS!$A4</f>
        <v>Patate douce - CUITE</v>
      </c>
      <c r="DK5" s="226" t="str">
        <f>VDS!$A4</f>
        <v>Boeuf, faux-filet - CRU</v>
      </c>
      <c r="DL5" s="251"/>
      <c r="DM5" s="226" t="str">
        <f>'OPT1'!$A4</f>
        <v>2 œufs entiers</v>
      </c>
      <c r="DN5" s="226" t="str">
        <f>'OPT2'!$A4</f>
        <v>Brassé</v>
      </c>
    </row>
    <row r="6" spans="1:118" ht="10" customHeight="1">
      <c r="A6" s="33"/>
      <c r="B6" s="35"/>
      <c r="C6" s="35"/>
      <c r="D6" s="35"/>
      <c r="E6" s="37"/>
      <c r="F6" s="35"/>
      <c r="G6" s="35"/>
      <c r="H6" s="35"/>
      <c r="I6" s="35"/>
      <c r="J6" s="35"/>
      <c r="K6" s="35"/>
      <c r="L6" s="35"/>
      <c r="M6" s="37"/>
      <c r="N6" s="37"/>
      <c r="O6" s="37"/>
      <c r="P6" s="37"/>
      <c r="Q6" s="37"/>
      <c r="R6" s="137"/>
      <c r="S6" s="140"/>
      <c r="T6" s="141"/>
      <c r="U6" s="244"/>
      <c r="W6" s="241"/>
      <c r="X6" s="236"/>
      <c r="Y6" s="226" t="s">
        <v>74</v>
      </c>
      <c r="Z6" s="226">
        <f>IF($AA$54=8,$AO$76,0)</f>
        <v>0</v>
      </c>
      <c r="AA6" s="253" t="s">
        <v>663</v>
      </c>
      <c r="AD6" s="226"/>
      <c r="AE6" s="226" t="s">
        <v>321</v>
      </c>
      <c r="AF6" s="226" t="e">
        <f>($Z$32*(1-($AF$4/100)))</f>
        <v>#VALUE!</v>
      </c>
      <c r="AG6" s="226" t="e">
        <f>($Z$32*(1-($AG$4/100)))</f>
        <v>#VALUE!</v>
      </c>
      <c r="AH6" s="226" t="e">
        <f>($Z$32*(1-($AH$4/100)))</f>
        <v>#VALUE!</v>
      </c>
      <c r="AI6" s="226"/>
      <c r="AJ6" s="226"/>
      <c r="AK6" s="226"/>
      <c r="AL6" s="226"/>
      <c r="AM6" s="243" t="s">
        <v>166</v>
      </c>
      <c r="AN6" s="243"/>
      <c r="AO6" s="243"/>
      <c r="AP6" s="243"/>
      <c r="AQ6" s="243"/>
      <c r="AR6" s="243"/>
      <c r="AS6" s="250"/>
      <c r="AT6" s="226"/>
      <c r="AU6" s="226"/>
      <c r="AV6" s="226"/>
      <c r="AW6" s="258" t="str">
        <f>IF($W$57=1,$G$12,"Pas de yaourt")</f>
        <v>Pas de yaourt</v>
      </c>
      <c r="AX6" s="226">
        <f>IF($W$57=1,VLOOKUP($G$12,'OPT2'!$A$2:$AC$100,15,0),0)</f>
        <v>0</v>
      </c>
      <c r="AY6" s="226">
        <f>IF($W$57=1,VLOOKUP($G$12,'OPT2'!$A$2:$AC$100,16,0),0)</f>
        <v>0</v>
      </c>
      <c r="AZ6" s="226"/>
      <c r="BA6" s="226"/>
      <c r="BB6" s="226" t="s">
        <v>525</v>
      </c>
      <c r="BC6" s="226">
        <f>IF($AA$3&gt;0,IF($BC$4&gt;0,ROUNDDOWN(($BC$5-0.1)/$BC$4,0)+1,0),0)</f>
        <v>0</v>
      </c>
      <c r="BD6" s="226"/>
      <c r="BE6" s="226" t="s">
        <v>529</v>
      </c>
      <c r="BF6" s="229" t="e">
        <f>IF($BC$4=0,$BF$4,$BF$5)</f>
        <v>#N/A</v>
      </c>
      <c r="BG6" s="226"/>
      <c r="BH6" s="226"/>
      <c r="BI6" s="254"/>
      <c r="BJ6" s="226"/>
      <c r="BK6" s="226"/>
      <c r="BL6" s="226"/>
      <c r="BM6" s="226"/>
      <c r="BN6" s="226"/>
      <c r="BO6" s="226"/>
      <c r="BP6" s="226"/>
      <c r="BQ6" s="226"/>
      <c r="BR6" s="226"/>
      <c r="BS6" s="226"/>
      <c r="BT6" s="226"/>
      <c r="BU6" s="226"/>
      <c r="BY6" s="255" t="s">
        <v>535</v>
      </c>
      <c r="BZ6" s="256">
        <v>1</v>
      </c>
      <c r="CA6" s="256">
        <v>0.5</v>
      </c>
      <c r="CB6" s="256">
        <v>0</v>
      </c>
      <c r="CD6" s="229" t="s">
        <v>952</v>
      </c>
      <c r="CE6" s="226">
        <v>1.1000000000000001</v>
      </c>
      <c r="CF6" s="226">
        <v>0</v>
      </c>
      <c r="CG6" s="226">
        <v>1</v>
      </c>
      <c r="CI6" s="239" t="s">
        <v>368</v>
      </c>
      <c r="CJ6" s="226">
        <v>1.9</v>
      </c>
      <c r="CK6" s="226">
        <v>2</v>
      </c>
      <c r="CL6" s="226">
        <v>20</v>
      </c>
      <c r="CM6" s="226">
        <v>9.4</v>
      </c>
      <c r="CN6" s="226">
        <v>10</v>
      </c>
      <c r="CO6" s="226">
        <v>2.6</v>
      </c>
      <c r="CP6" s="226">
        <v>10.1</v>
      </c>
      <c r="CQ6" s="226">
        <v>35</v>
      </c>
      <c r="CR6" s="226">
        <v>10</v>
      </c>
      <c r="CS6" s="226">
        <v>40</v>
      </c>
      <c r="CT6" s="226">
        <v>10</v>
      </c>
      <c r="CU6" s="226">
        <v>1</v>
      </c>
      <c r="CV6" s="226">
        <v>14</v>
      </c>
      <c r="CW6" s="226">
        <v>1.5</v>
      </c>
      <c r="CX6" s="226">
        <v>8</v>
      </c>
      <c r="CY6" s="226">
        <v>2.4</v>
      </c>
      <c r="CZ6" s="226">
        <v>1.7</v>
      </c>
      <c r="DA6" s="226">
        <v>6</v>
      </c>
      <c r="DB6" s="226">
        <v>4</v>
      </c>
      <c r="DC6" s="226">
        <v>1</v>
      </c>
      <c r="DD6" s="226">
        <v>15</v>
      </c>
      <c r="DE6" s="226">
        <v>10</v>
      </c>
      <c r="DF6" s="226">
        <v>2</v>
      </c>
      <c r="DH6" s="226" t="str">
        <f>HLS!$A5</f>
        <v>Huile de Saumon</v>
      </c>
      <c r="DI6" s="226" t="str">
        <f>LGS!$A5</f>
        <v>Citrouille - CUITE</v>
      </c>
      <c r="DJ6" s="226" t="str">
        <f>FCS!$A5</f>
        <v>Pâtes sèches aux œufs - CUITES</v>
      </c>
      <c r="DK6" s="226" t="str">
        <f>VDS!$A5</f>
        <v>Boeuf, faux-filet - CUIT</v>
      </c>
      <c r="DL6" s="251"/>
      <c r="DM6" s="226" t="str">
        <f>'OPT1'!$A5</f>
        <v>3 œufs entiers</v>
      </c>
      <c r="DN6" s="226" t="str">
        <f>'OPT2'!$A5</f>
        <v>Lait entier</v>
      </c>
    </row>
    <row r="7" spans="1:118" ht="25.2" customHeight="1">
      <c r="A7" s="33"/>
      <c r="B7" s="213" t="s">
        <v>165</v>
      </c>
      <c r="C7" s="213"/>
      <c r="D7" s="31"/>
      <c r="E7" s="37"/>
      <c r="F7" s="217" t="s">
        <v>869</v>
      </c>
      <c r="G7" s="218"/>
      <c r="H7" s="62" t="s">
        <v>338</v>
      </c>
      <c r="I7" s="170"/>
      <c r="J7" s="171"/>
      <c r="K7" s="63" t="str">
        <f>IF($I$7&gt;0,""&amp;VLOOKUP($I$7,$BP$60:$BQ$63,2,0),"")</f>
        <v/>
      </c>
      <c r="L7" s="64"/>
      <c r="M7" s="37"/>
      <c r="N7" s="37"/>
      <c r="O7" s="37"/>
      <c r="P7" s="37"/>
      <c r="Q7" s="37"/>
      <c r="R7" s="137"/>
      <c r="S7" s="140"/>
      <c r="T7" s="142" t="s">
        <v>224</v>
      </c>
      <c r="U7" s="244"/>
      <c r="V7" s="259"/>
      <c r="W7" s="241"/>
      <c r="X7" s="236"/>
      <c r="Y7" s="226" t="s">
        <v>75</v>
      </c>
      <c r="Z7" s="226">
        <f>IF($AA$54=8,IF($I$7=$AD$28,$L$9,$AO$68),0)</f>
        <v>0</v>
      </c>
      <c r="AA7" s="253">
        <f>IF($M$14&gt;0,ROUNDDOWN(($Z$32/100*$Z$7)/(2*$M$14/100),0)*2,0)</f>
        <v>0</v>
      </c>
      <c r="AD7" s="226"/>
      <c r="AE7" s="226" t="s">
        <v>322</v>
      </c>
      <c r="AF7" s="258" t="e">
        <f>$Z$32</f>
        <v>#VALUE!</v>
      </c>
      <c r="AG7" s="226" t="e">
        <f>$Z$23</f>
        <v>#VALUE!</v>
      </c>
      <c r="AH7" s="226"/>
      <c r="AI7" s="226"/>
      <c r="AJ7" s="226"/>
      <c r="AK7" s="226"/>
      <c r="AL7" s="226"/>
      <c r="AM7" s="243" t="e">
        <f>"Apport du menu : "&amp;ROUND($Z$23,0)&amp;" kcal, trop éloigné de la cible : "&amp;$Z$32&amp;" kcal (écart de "&amp;$AG$8&amp;"%)"</f>
        <v>#VALUE!</v>
      </c>
      <c r="AN7" s="243"/>
      <c r="AO7" s="243"/>
      <c r="AP7" s="243"/>
      <c r="AQ7" s="243"/>
      <c r="AR7" s="243"/>
      <c r="AS7" s="250"/>
      <c r="AT7" s="226"/>
      <c r="AU7" s="226"/>
      <c r="AV7" s="226"/>
      <c r="AW7" s="258" t="str">
        <f>IF($I$8="","PAS DE CMV",$I$8)</f>
        <v>PAS DE CMV</v>
      </c>
      <c r="AX7" s="226"/>
      <c r="AY7" s="226"/>
      <c r="AZ7" s="226"/>
      <c r="BA7" s="226"/>
      <c r="BB7" s="226"/>
      <c r="BC7" s="226"/>
      <c r="BD7" s="226"/>
      <c r="BE7" s="226"/>
      <c r="BF7" s="226"/>
      <c r="BG7" s="226"/>
      <c r="BH7" s="226"/>
      <c r="BI7" s="254"/>
      <c r="BJ7" s="226"/>
      <c r="BK7" s="226"/>
      <c r="BL7" s="226"/>
      <c r="BM7" s="226"/>
      <c r="BN7" s="226"/>
      <c r="BO7" s="226"/>
      <c r="BP7" s="226"/>
      <c r="BQ7" s="226"/>
      <c r="BR7" s="226"/>
      <c r="BS7" s="226"/>
      <c r="BT7" s="226"/>
      <c r="BU7" s="226"/>
      <c r="BY7" s="255" t="s">
        <v>536</v>
      </c>
      <c r="BZ7" s="256">
        <v>1</v>
      </c>
      <c r="CA7" s="256">
        <v>1</v>
      </c>
      <c r="CB7" s="256">
        <v>0</v>
      </c>
      <c r="CD7" s="229"/>
      <c r="CE7" s="226"/>
      <c r="CF7" s="226"/>
      <c r="CG7" s="226"/>
      <c r="CI7" s="239" t="s">
        <v>369</v>
      </c>
      <c r="CJ7" s="226">
        <v>1.6</v>
      </c>
      <c r="CK7" s="226">
        <v>2</v>
      </c>
      <c r="CL7" s="226">
        <v>20</v>
      </c>
      <c r="CM7" s="226">
        <v>7.5</v>
      </c>
      <c r="CN7" s="226">
        <v>8.5</v>
      </c>
      <c r="CO7" s="226">
        <v>2.4</v>
      </c>
      <c r="CP7" s="226">
        <v>8.6</v>
      </c>
      <c r="CQ7" s="226">
        <v>35</v>
      </c>
      <c r="CR7" s="226">
        <v>10</v>
      </c>
      <c r="CS7" s="226">
        <v>40</v>
      </c>
      <c r="CT7" s="226">
        <v>11</v>
      </c>
      <c r="CU7" s="226">
        <v>1</v>
      </c>
      <c r="CV7" s="226">
        <v>14</v>
      </c>
      <c r="CW7" s="226">
        <v>1.5</v>
      </c>
      <c r="CX7" s="226">
        <v>8</v>
      </c>
      <c r="CY7" s="226">
        <v>2.2000000000000002</v>
      </c>
      <c r="CZ7" s="226">
        <v>1.3</v>
      </c>
      <c r="DA7" s="226">
        <v>6</v>
      </c>
      <c r="DB7" s="226">
        <v>4</v>
      </c>
      <c r="DC7" s="226">
        <v>1</v>
      </c>
      <c r="DD7" s="226">
        <v>15</v>
      </c>
      <c r="DE7" s="226">
        <v>10</v>
      </c>
      <c r="DF7" s="226">
        <v>2</v>
      </c>
      <c r="DH7" s="226" t="str">
        <f>HLS!$A6</f>
        <v>Huile de Pépins de raisin</v>
      </c>
      <c r="DI7" s="226" t="str">
        <f>LGS!$A6</f>
        <v>Courge musquée - CUITE</v>
      </c>
      <c r="DJ7" s="226" t="str">
        <f>FCS!$A6</f>
        <v>Pâtes sèches standard - CUITES</v>
      </c>
      <c r="DK7" s="226" t="str">
        <f>VDS!$A6</f>
        <v>Boeuf, rumsteck - CRU</v>
      </c>
      <c r="DL7" s="251"/>
      <c r="DM7" s="226" t="str">
        <f>'OPT1'!$A6</f>
        <v>4 œufs entiers</v>
      </c>
      <c r="DN7" s="226" t="str">
        <f>'OPT2'!$A6</f>
        <v>Fromage blanc</v>
      </c>
    </row>
    <row r="8" spans="1:118" ht="25.2" customHeight="1">
      <c r="A8" s="33"/>
      <c r="B8" s="177"/>
      <c r="C8" s="178"/>
      <c r="D8" s="178"/>
      <c r="E8" s="37"/>
      <c r="F8" s="65"/>
      <c r="G8" s="66" t="str">
        <f>IF($I$7=$AD$28,"Code de déverouillage","")</f>
        <v/>
      </c>
      <c r="H8" s="67" t="s">
        <v>339</v>
      </c>
      <c r="I8" s="174"/>
      <c r="J8" s="173"/>
      <c r="K8" s="68" t="str">
        <f>IF($I$8&gt;0,""&amp;VLOOKUP($I$8,CMV!$A$2:$AB$100,14,0),"")</f>
        <v/>
      </c>
      <c r="L8" s="69"/>
      <c r="M8" s="37"/>
      <c r="N8" s="37"/>
      <c r="O8" s="37"/>
      <c r="P8" s="37"/>
      <c r="Q8" s="37"/>
      <c r="R8" s="137"/>
      <c r="S8" s="140"/>
      <c r="T8" s="142" t="s">
        <v>926</v>
      </c>
      <c r="U8" s="244"/>
      <c r="W8" s="241"/>
      <c r="X8" s="236"/>
      <c r="Y8" s="226" t="s">
        <v>142</v>
      </c>
      <c r="Z8" s="226">
        <f>IF($AA$54=8,$AO$69,0)</f>
        <v>0</v>
      </c>
      <c r="AA8" s="253">
        <f>IF($M$14&gt;0,$AA$7*$M$14/100,0)</f>
        <v>0</v>
      </c>
      <c r="AD8" s="226"/>
      <c r="AE8" s="226" t="s">
        <v>323</v>
      </c>
      <c r="AF8" s="258" t="e">
        <f>$AG$7-$AF$7</f>
        <v>#VALUE!</v>
      </c>
      <c r="AG8" s="226" t="e">
        <f>ROUND($AF$8*100/$AF$7,2)</f>
        <v>#VALUE!</v>
      </c>
      <c r="AH8" s="226"/>
      <c r="AI8" s="226"/>
      <c r="AJ8" s="226"/>
      <c r="AK8" s="226"/>
      <c r="AL8" s="226"/>
      <c r="AM8" s="229" t="e">
        <f>"Apport du menu : "&amp;ROUND($Z$23,0)&amp;" kcal, trop éloigné de la cible : "&amp;$Z$32&amp;" kcal (écart de "&amp;$AG$8&amp;"%)"</f>
        <v>#VALUE!</v>
      </c>
      <c r="AN8" s="226"/>
      <c r="AO8" s="226"/>
      <c r="AP8" s="226"/>
      <c r="AQ8" s="226"/>
      <c r="AR8" s="226"/>
      <c r="AS8" s="226"/>
      <c r="AT8" s="226"/>
      <c r="AU8" s="226"/>
      <c r="AV8" s="226"/>
      <c r="AW8" s="258" t="str">
        <f>IF($I$11="","PAS DE VIANDES",$I$11)</f>
        <v>PAS DE VIANDES</v>
      </c>
      <c r="AX8" s="226">
        <f>IF($I$11="",0,VLOOKUP($I$11,VDS!$A$2:$AJ$107,15,0))</f>
        <v>0</v>
      </c>
      <c r="AY8" s="226">
        <f>IF($I$11="",0,VLOOKUP($I$11,VDS!$A$2:$AJ$107,16,0))</f>
        <v>0</v>
      </c>
      <c r="AZ8" s="226"/>
      <c r="BA8" s="226"/>
      <c r="BB8" s="226"/>
      <c r="BC8" s="226"/>
      <c r="BD8" s="226"/>
      <c r="BE8" s="226"/>
      <c r="BF8" s="226"/>
      <c r="BG8" s="226"/>
      <c r="BH8" s="226"/>
      <c r="BI8" s="254"/>
      <c r="BJ8" s="226"/>
      <c r="BK8" s="226"/>
      <c r="BL8" s="226"/>
      <c r="BM8" s="226"/>
      <c r="BN8" s="226"/>
      <c r="BO8" s="226"/>
      <c r="BP8" s="226"/>
      <c r="BQ8" s="226"/>
      <c r="BR8" s="226"/>
      <c r="BS8" s="226"/>
      <c r="BT8" s="226"/>
      <c r="BU8" s="226"/>
      <c r="BY8" s="255" t="s">
        <v>537</v>
      </c>
      <c r="BZ8" s="256">
        <v>1.2</v>
      </c>
      <c r="CA8" s="256">
        <v>0</v>
      </c>
      <c r="CB8" s="256">
        <v>0</v>
      </c>
      <c r="CD8" s="229"/>
      <c r="CE8" s="226"/>
      <c r="CF8" s="226"/>
      <c r="CG8" s="226"/>
      <c r="CI8" s="239" t="s">
        <v>370</v>
      </c>
      <c r="CJ8" s="226">
        <v>1.3</v>
      </c>
      <c r="CK8" s="226">
        <v>2</v>
      </c>
      <c r="CL8" s="226">
        <v>20</v>
      </c>
      <c r="CM8" s="226">
        <v>6</v>
      </c>
      <c r="CN8" s="226">
        <v>7</v>
      </c>
      <c r="CO8" s="226">
        <v>2.2000000000000002</v>
      </c>
      <c r="CP8" s="226">
        <v>7.1</v>
      </c>
      <c r="CQ8" s="226">
        <v>35</v>
      </c>
      <c r="CR8" s="226">
        <v>10</v>
      </c>
      <c r="CS8" s="226">
        <v>40</v>
      </c>
      <c r="CT8" s="226">
        <v>11</v>
      </c>
      <c r="CU8" s="226">
        <v>1</v>
      </c>
      <c r="CV8" s="226">
        <v>14</v>
      </c>
      <c r="CW8" s="226">
        <v>1.5</v>
      </c>
      <c r="CX8" s="226">
        <v>8</v>
      </c>
      <c r="CY8" s="226">
        <v>2</v>
      </c>
      <c r="CZ8" s="226">
        <v>1.1000000000000001</v>
      </c>
      <c r="DA8" s="226">
        <v>6</v>
      </c>
      <c r="DB8" s="226">
        <v>4</v>
      </c>
      <c r="DC8" s="226">
        <v>1</v>
      </c>
      <c r="DD8" s="226">
        <v>15</v>
      </c>
      <c r="DE8" s="226">
        <v>10</v>
      </c>
      <c r="DF8" s="226">
        <v>2</v>
      </c>
      <c r="DH8" s="226" t="str">
        <f>HLS!$A7</f>
        <v>Huile de Noix</v>
      </c>
      <c r="DI8" s="226" t="str">
        <f>LGS!$A7</f>
        <v>Courge spaghetti - CUITE</v>
      </c>
      <c r="DJ8" s="226" t="str">
        <f>FCS!$A7</f>
        <v>Pomme de terre - CUITE</v>
      </c>
      <c r="DK8" s="226" t="str">
        <f>VDS!$A7</f>
        <v>Boeuf, rumsteck - CUIT</v>
      </c>
      <c r="DL8" s="251"/>
      <c r="DM8" s="226">
        <f>'OPT1'!$A7</f>
        <v>0</v>
      </c>
      <c r="DN8" s="226" t="str">
        <f>'OPT2'!$A7</f>
        <v>Lait entier crème</v>
      </c>
    </row>
    <row r="9" spans="1:118" ht="25.2" customHeight="1">
      <c r="A9" s="33"/>
      <c r="B9" s="214" t="s">
        <v>868</v>
      </c>
      <c r="C9" s="215"/>
      <c r="D9" s="216"/>
      <c r="E9" s="37"/>
      <c r="F9" s="70"/>
      <c r="G9" s="71" t="s">
        <v>856</v>
      </c>
      <c r="H9" s="136" t="s">
        <v>908</v>
      </c>
      <c r="I9" s="174"/>
      <c r="J9" s="173"/>
      <c r="K9" s="109" t="str">
        <f>IF($I$9&gt;0,IF($X$103=0,""&amp;VLOOKUP($I$9,$W$98:$Y$99,3,0),"Erreur de mode de ration"),"")</f>
        <v/>
      </c>
      <c r="L9" s="110"/>
      <c r="M9" s="37"/>
      <c r="N9" s="37"/>
      <c r="O9" s="37"/>
      <c r="P9" s="37"/>
      <c r="Q9" s="37"/>
      <c r="R9" s="137"/>
      <c r="S9" s="143"/>
      <c r="T9" s="144" t="s">
        <v>890</v>
      </c>
      <c r="U9" s="244"/>
      <c r="W9" s="241"/>
      <c r="X9" s="236"/>
      <c r="Y9" s="226" t="s">
        <v>143</v>
      </c>
      <c r="Z9" s="226">
        <f>IF($AA$54=8,(VLOOKUP($I$7,$AD$24:$AH$28,5,0))*$M$14/100,0)</f>
        <v>0</v>
      </c>
      <c r="AA9" s="226" t="s">
        <v>101</v>
      </c>
      <c r="AD9" s="226"/>
      <c r="AE9" s="226"/>
      <c r="AF9" s="226"/>
      <c r="AG9" s="226"/>
      <c r="AH9" s="226"/>
      <c r="AI9" s="226"/>
      <c r="AJ9" s="226"/>
      <c r="AK9" s="226"/>
      <c r="AL9" s="226"/>
      <c r="AM9" s="229" t="e">
        <f>IF($Z$16&lt;0,$AM$8,$AM$7)</f>
        <v>#VALUE!</v>
      </c>
      <c r="AN9" s="226"/>
      <c r="AO9" s="226"/>
      <c r="AP9" s="226"/>
      <c r="AQ9" s="226"/>
      <c r="AR9" s="226"/>
      <c r="AS9" s="226"/>
      <c r="AT9" s="226"/>
      <c r="AU9" s="226"/>
      <c r="AV9" s="226"/>
      <c r="AW9" s="258" t="str">
        <f>IF($I$12="","PAS DE LEGUMES",$I$12)</f>
        <v>PAS DE LEGUMES</v>
      </c>
      <c r="AX9" s="226">
        <f>IF($I$12="",0,VLOOKUP($I$12,LGS!$A$2:$AC$100,15,0))</f>
        <v>0</v>
      </c>
      <c r="AY9" s="226">
        <f>IF($I$12="",0,VLOOKUP($I$12,LGS!$A$2:$AC$100,16,0))</f>
        <v>0</v>
      </c>
      <c r="AZ9" s="226"/>
      <c r="BA9" s="226"/>
      <c r="BB9" s="226"/>
      <c r="BC9" s="226"/>
      <c r="BD9" s="226"/>
      <c r="BE9" s="226"/>
      <c r="BF9" s="226"/>
      <c r="BG9" s="226"/>
      <c r="BH9" s="226"/>
      <c r="BI9" s="254"/>
      <c r="BJ9" s="226"/>
      <c r="BK9" s="226"/>
      <c r="BL9" s="226"/>
      <c r="BM9" s="226"/>
      <c r="BN9" s="226"/>
      <c r="BO9" s="226"/>
      <c r="BP9" s="226"/>
      <c r="BQ9" s="226"/>
      <c r="BR9" s="226"/>
      <c r="BS9" s="226"/>
      <c r="BT9" s="226"/>
      <c r="BU9" s="226"/>
      <c r="BY9" s="255" t="s">
        <v>538</v>
      </c>
      <c r="BZ9" s="256">
        <v>1</v>
      </c>
      <c r="CA9" s="256">
        <v>0</v>
      </c>
      <c r="CB9" s="256">
        <v>0</v>
      </c>
      <c r="CD9" s="229"/>
      <c r="CE9" s="226"/>
      <c r="CF9" s="226"/>
      <c r="CG9" s="226"/>
      <c r="CI9" s="239" t="s">
        <v>371</v>
      </c>
      <c r="CJ9" s="226">
        <v>1.1000000000000001</v>
      </c>
      <c r="CK9" s="226">
        <v>3</v>
      </c>
      <c r="CL9" s="226">
        <v>18</v>
      </c>
      <c r="CM9" s="226">
        <v>4.8</v>
      </c>
      <c r="CN9" s="226">
        <v>6</v>
      </c>
      <c r="CO9" s="226">
        <v>2</v>
      </c>
      <c r="CP9" s="226">
        <v>6.1</v>
      </c>
      <c r="CQ9" s="226">
        <v>35</v>
      </c>
      <c r="CR9" s="226">
        <v>10</v>
      </c>
      <c r="CS9" s="226">
        <v>40</v>
      </c>
      <c r="CT9" s="226">
        <v>11</v>
      </c>
      <c r="CU9" s="226">
        <v>1</v>
      </c>
      <c r="CV9" s="226">
        <v>14</v>
      </c>
      <c r="CW9" s="226">
        <v>1.8</v>
      </c>
      <c r="CX9" s="226">
        <v>8</v>
      </c>
      <c r="CY9" s="226">
        <v>1.8</v>
      </c>
      <c r="CZ9" s="226">
        <v>0.9</v>
      </c>
      <c r="DA9" s="226">
        <v>6</v>
      </c>
      <c r="DB9" s="226">
        <v>4</v>
      </c>
      <c r="DC9" s="226">
        <v>1</v>
      </c>
      <c r="DD9" s="226">
        <v>15</v>
      </c>
      <c r="DE9" s="226">
        <v>10</v>
      </c>
      <c r="DF9" s="226">
        <v>2</v>
      </c>
      <c r="DH9" s="226" t="str">
        <f>HLS!$A8</f>
        <v>Huile de germe de blé</v>
      </c>
      <c r="DI9" s="226" t="str">
        <f>LGS!$A8</f>
        <v>Courgette avec peau - CRUE</v>
      </c>
      <c r="DJ9" s="226" t="str">
        <f>FCS!$A8</f>
        <v>Purée mousline reconstituée</v>
      </c>
      <c r="DK9" s="226" t="str">
        <f>VDS!$A8</f>
        <v>Boeuf à bourguignon - CRU</v>
      </c>
      <c r="DL9" s="251"/>
      <c r="DM9" s="226">
        <f>'OPT1'!$A8</f>
        <v>0</v>
      </c>
      <c r="DN9" s="226" t="str">
        <f>'OPT2'!$A8</f>
        <v>Lait entier chèvre</v>
      </c>
    </row>
    <row r="10" spans="1:118" ht="25.2" customHeight="1">
      <c r="A10" s="33"/>
      <c r="B10" s="219" t="s">
        <v>946</v>
      </c>
      <c r="C10" s="220"/>
      <c r="D10" s="221"/>
      <c r="E10" s="39"/>
      <c r="F10" s="72"/>
      <c r="G10" s="29" t="str">
        <f>"Les petits + à ajouter aux gamelles "</f>
        <v xml:space="preserve">Les petits + à ajouter aux gamelles </v>
      </c>
      <c r="H10" s="109"/>
      <c r="I10" s="109"/>
      <c r="J10" s="109"/>
      <c r="K10" s="109"/>
      <c r="L10" s="111"/>
      <c r="M10" s="37"/>
      <c r="N10" s="37"/>
      <c r="O10" s="37"/>
      <c r="P10" s="37"/>
      <c r="Q10" s="37"/>
      <c r="R10" s="137"/>
      <c r="S10" s="143"/>
      <c r="T10" s="142"/>
      <c r="U10" s="244"/>
      <c r="W10" s="241"/>
      <c r="X10" s="257" t="s">
        <v>88</v>
      </c>
      <c r="Y10" s="226" t="s">
        <v>84</v>
      </c>
      <c r="Z10" s="226">
        <f>IF($AA$54=8,ROUND($Z$32,0)-$Z$9-$Y$33,0)</f>
        <v>0</v>
      </c>
      <c r="AA10" s="226">
        <f>IF($Z$10&lt;0,1,0)</f>
        <v>0</v>
      </c>
      <c r="AD10" s="226"/>
      <c r="AE10" s="242" t="s">
        <v>376</v>
      </c>
      <c r="AF10" s="242"/>
      <c r="AG10" s="242"/>
      <c r="AH10" s="231"/>
      <c r="AI10" s="226"/>
      <c r="AJ10" s="227" t="s">
        <v>930</v>
      </c>
      <c r="AL10" s="226"/>
      <c r="AM10" s="229" t="e">
        <f>"Les protéines sont en DESSOUS du MINIMUM VITAL ("&amp;$Y$36&amp;" g/kg), votre chat risque une GRAVE CARENCE !"</f>
        <v>#N/A</v>
      </c>
      <c r="AN10" s="229"/>
      <c r="AO10" s="229"/>
      <c r="AP10" s="229"/>
      <c r="AQ10" s="229"/>
      <c r="AR10" s="229"/>
      <c r="AS10" s="226"/>
      <c r="AT10" s="226"/>
      <c r="AU10" s="226"/>
      <c r="AV10" s="226"/>
      <c r="AW10" s="258" t="str">
        <f>IF($I$13="","PAS DE FECULENTS",$I$13)</f>
        <v>PAS DE FECULENTS</v>
      </c>
      <c r="AX10" s="226">
        <f>IF($I$13="",0,VLOOKUP($I$13,FCS!$A$2:$AC$100,15,0))</f>
        <v>0</v>
      </c>
      <c r="AY10" s="226">
        <f>IF($I$13="",0,VLOOKUP($I$13,FCS!$A$2:$AC$100,16,0))</f>
        <v>0</v>
      </c>
      <c r="AZ10" s="242" t="s">
        <v>692</v>
      </c>
      <c r="BA10" s="260"/>
      <c r="BB10" s="260"/>
      <c r="BC10" s="260"/>
      <c r="BD10" s="260"/>
      <c r="BE10" s="260"/>
      <c r="BF10" s="260"/>
      <c r="BG10" s="260"/>
      <c r="BH10" s="260"/>
      <c r="BI10" s="260"/>
      <c r="BJ10" s="260"/>
      <c r="BK10" s="260"/>
      <c r="BL10" s="260"/>
      <c r="BM10" s="260"/>
      <c r="BN10" s="260"/>
      <c r="BO10" s="260"/>
      <c r="BP10" s="260"/>
      <c r="BQ10" s="242" t="s">
        <v>699</v>
      </c>
      <c r="BR10" s="231"/>
      <c r="BS10" s="231"/>
      <c r="BT10" s="231"/>
      <c r="BY10" s="255" t="s">
        <v>539</v>
      </c>
      <c r="BZ10" s="256">
        <v>1</v>
      </c>
      <c r="CA10" s="256">
        <v>0</v>
      </c>
      <c r="CB10" s="256">
        <v>0</v>
      </c>
      <c r="CI10" s="231"/>
      <c r="CJ10" s="231"/>
      <c r="CK10" s="231"/>
      <c r="CL10" s="231"/>
      <c r="CM10" s="231"/>
      <c r="CN10" s="231"/>
      <c r="CO10" s="231"/>
      <c r="CP10" s="231"/>
      <c r="CQ10" s="231"/>
      <c r="CR10" s="231"/>
      <c r="CS10" s="231"/>
      <c r="CT10" s="231"/>
      <c r="CU10" s="231"/>
      <c r="CV10" s="231"/>
      <c r="CW10" s="231"/>
      <c r="CX10" s="231"/>
      <c r="CY10" s="231"/>
      <c r="CZ10" s="231"/>
      <c r="DA10" s="226" t="s">
        <v>919</v>
      </c>
      <c r="DB10" s="226" t="s">
        <v>920</v>
      </c>
      <c r="DC10" s="226" t="s">
        <v>929</v>
      </c>
      <c r="DD10" s="226"/>
      <c r="DE10" s="226"/>
      <c r="DH10" s="226" t="str">
        <f>HLS!$A9</f>
        <v>Huile de bourrache</v>
      </c>
      <c r="DI10" s="226" t="str">
        <f>LGS!$A9</f>
        <v>Courgette avec peau - CUITE</v>
      </c>
      <c r="DJ10" s="226" t="str">
        <f>FCS!$A9</f>
        <v>Riz blanc - CUIT</v>
      </c>
      <c r="DK10" s="226" t="str">
        <f>VDS!$A9</f>
        <v>Boeuf à bourguignon - CUIT</v>
      </c>
      <c r="DL10" s="251"/>
      <c r="DM10" s="226">
        <f>'OPT1'!$A9</f>
        <v>0</v>
      </c>
      <c r="DN10" s="226" t="str">
        <f>'OPT2'!$A9</f>
        <v>Lait de brebis</v>
      </c>
    </row>
    <row r="11" spans="1:118" ht="25.2" customHeight="1">
      <c r="A11" s="33"/>
      <c r="B11" s="222"/>
      <c r="C11" s="220"/>
      <c r="D11" s="221"/>
      <c r="E11" s="39"/>
      <c r="F11" s="73" t="s">
        <v>724</v>
      </c>
      <c r="G11" s="17"/>
      <c r="H11" s="67" t="s">
        <v>85</v>
      </c>
      <c r="I11" s="172"/>
      <c r="J11" s="173"/>
      <c r="K11" s="68" t="str">
        <f>IF($I$11&gt;0,IF($X$3&gt;0,""&amp;VLOOKUP($I$11,VDS!$A$2:$AJ$107,19,0),""),"")</f>
        <v/>
      </c>
      <c r="L11" s="74"/>
      <c r="M11" s="38">
        <f>IF($I$11&gt;0,IF($X$3&gt;0,$BP$14,0),0)</f>
        <v>0</v>
      </c>
      <c r="N11" s="38"/>
      <c r="O11" s="38"/>
      <c r="P11" s="38"/>
      <c r="Q11" s="38"/>
      <c r="R11" s="137"/>
      <c r="S11" s="143"/>
      <c r="T11" s="142" t="s">
        <v>226</v>
      </c>
      <c r="U11" s="244"/>
      <c r="W11" s="241"/>
      <c r="X11" s="231"/>
      <c r="Y11" s="226" t="s">
        <v>85</v>
      </c>
      <c r="Z11" s="226">
        <f>IF($AA$54=8,ROUND($AZ$18*$M$11/100,2),0)</f>
        <v>0</v>
      </c>
      <c r="AA11" s="226">
        <v>0</v>
      </c>
      <c r="AB11" s="226"/>
      <c r="AD11" s="226"/>
      <c r="AE11" s="226">
        <v>100</v>
      </c>
      <c r="AF11" s="226">
        <v>1.0900000000000001</v>
      </c>
      <c r="AG11" s="226">
        <f>(AF11+AH11)/2</f>
        <v>1.07</v>
      </c>
      <c r="AH11" s="226">
        <v>1.05</v>
      </c>
      <c r="AI11" s="226"/>
      <c r="AJ11" s="226" t="str">
        <f>IF($C$20&lt;&gt;"",VLOOKUP($C$20,$CI$11:$DC$16,21,0),"")</f>
        <v/>
      </c>
      <c r="AK11" s="229" t="s">
        <v>931</v>
      </c>
      <c r="AL11" s="226"/>
      <c r="AM11" s="229" t="e">
        <f>"Les protéines sont en DESSOUS du minimum idéal ("&amp;$Y$35&amp;" g/kg) mais au dessus du minimum vital ("&amp;$Y$36&amp;" g/kg)"</f>
        <v>#N/A</v>
      </c>
      <c r="AN11" s="229"/>
      <c r="AO11" s="229"/>
      <c r="AP11" s="229"/>
      <c r="AQ11" s="229"/>
      <c r="AR11" s="229"/>
      <c r="AS11" s="226"/>
      <c r="AT11" s="226"/>
      <c r="AU11" s="226"/>
      <c r="AV11" s="226"/>
      <c r="AW11" s="258" t="str">
        <f>IF($I$14="","PAS D'HUILE",$I$14)</f>
        <v>PAS D'HUILE</v>
      </c>
      <c r="AX11" s="226">
        <f>IF($I$14="",0,VLOOKUP($I$14,HLS!$A$2:$AC$100,15,0))</f>
        <v>0</v>
      </c>
      <c r="AY11" s="226">
        <f>IF($I$14="",0,VLOOKUP($I$14,HLS!$A$2:$AC$100,16,0))</f>
        <v>0</v>
      </c>
      <c r="AZ11" s="226" t="s">
        <v>4</v>
      </c>
      <c r="BA11" s="226" t="s">
        <v>5</v>
      </c>
      <c r="BB11" s="226" t="s">
        <v>6</v>
      </c>
      <c r="BC11" s="226" t="s">
        <v>7</v>
      </c>
      <c r="BD11" s="226" t="s">
        <v>33</v>
      </c>
      <c r="BE11" s="226" t="s">
        <v>8</v>
      </c>
      <c r="BF11" s="226" t="s">
        <v>9</v>
      </c>
      <c r="BG11" s="234" t="s">
        <v>8</v>
      </c>
      <c r="BH11" s="234" t="s">
        <v>9</v>
      </c>
      <c r="BI11" s="226" t="s">
        <v>35</v>
      </c>
      <c r="BJ11" s="226" t="s">
        <v>37</v>
      </c>
      <c r="BK11" s="226" t="s">
        <v>52</v>
      </c>
      <c r="BL11" s="226" t="s">
        <v>53</v>
      </c>
      <c r="BM11" s="226" t="s">
        <v>54</v>
      </c>
      <c r="BN11" s="226" t="s">
        <v>109</v>
      </c>
      <c r="BO11" s="226" t="s">
        <v>690</v>
      </c>
      <c r="BP11" s="226" t="s">
        <v>691</v>
      </c>
      <c r="BQ11" s="226" t="s">
        <v>700</v>
      </c>
      <c r="BR11" s="226" t="s">
        <v>9</v>
      </c>
      <c r="BS11" s="226" t="s">
        <v>701</v>
      </c>
      <c r="BT11" s="226" t="s">
        <v>702</v>
      </c>
      <c r="BY11" s="255" t="s">
        <v>540</v>
      </c>
      <c r="BZ11" s="256">
        <v>1</v>
      </c>
      <c r="CA11" s="256">
        <v>0</v>
      </c>
      <c r="CB11" s="256">
        <v>0</v>
      </c>
      <c r="CI11" s="239" t="s">
        <v>49</v>
      </c>
      <c r="CJ11" s="226"/>
      <c r="CK11" s="226"/>
      <c r="CL11" s="226"/>
      <c r="CM11" s="226"/>
      <c r="CN11" s="226"/>
      <c r="CO11" s="226"/>
      <c r="CP11" s="226"/>
      <c r="CQ11" s="226"/>
      <c r="CR11" s="226"/>
      <c r="CS11" s="226"/>
      <c r="CT11" s="226"/>
      <c r="CU11" s="226"/>
      <c r="CV11" s="226"/>
      <c r="CW11" s="226"/>
      <c r="CX11" s="226"/>
      <c r="CY11" s="226"/>
      <c r="CZ11" s="226"/>
      <c r="DA11" s="226">
        <v>4</v>
      </c>
      <c r="DB11" s="226">
        <v>3</v>
      </c>
      <c r="DC11" s="226">
        <v>0</v>
      </c>
      <c r="DD11" s="226"/>
      <c r="DE11" s="226"/>
      <c r="DH11" s="226" t="str">
        <f>HLS!$A10</f>
        <v>Huile ISIO 4</v>
      </c>
      <c r="DI11" s="226" t="str">
        <f>LGS!$A10</f>
        <v>Concombre avec peau - CRU</v>
      </c>
      <c r="DJ11" s="226" t="str">
        <f>FCS!$A10</f>
        <v>Tapioca - CUIT</v>
      </c>
      <c r="DK11" s="226" t="str">
        <f>VDS!$A10</f>
        <v>Boeuf, steak haché 5% MG - CRU</v>
      </c>
      <c r="DL11" s="251"/>
      <c r="DM11" s="226">
        <f>'OPT1'!$A10</f>
        <v>0</v>
      </c>
      <c r="DN11" s="226" t="str">
        <f>'OPT2'!$A10</f>
        <v>Light 0%</v>
      </c>
    </row>
    <row r="12" spans="1:118" ht="25.2" customHeight="1">
      <c r="A12" s="33"/>
      <c r="B12" s="222"/>
      <c r="C12" s="220"/>
      <c r="D12" s="221"/>
      <c r="E12" s="40"/>
      <c r="F12" s="50" t="s">
        <v>677</v>
      </c>
      <c r="G12" s="13"/>
      <c r="H12" s="67" t="s">
        <v>87</v>
      </c>
      <c r="I12" s="172"/>
      <c r="J12" s="173"/>
      <c r="K12" s="68" t="str">
        <f>IF($I$12&gt;0,IF($Y$3&gt;0,""&amp;VLOOKUP($I$12,LGS!$A$2:$AC$100,19,0),""),"")</f>
        <v/>
      </c>
      <c r="L12" s="74"/>
      <c r="M12" s="38">
        <f>IF($I$12&gt;0,IF($Y$3&gt;0,VLOOKUP($I$12,LGS!$A$2:$AC$100,2,0),0),0)</f>
        <v>0</v>
      </c>
      <c r="N12" s="38"/>
      <c r="O12" s="38"/>
      <c r="P12" s="38"/>
      <c r="Q12" s="38"/>
      <c r="R12" s="137"/>
      <c r="S12" s="143"/>
      <c r="T12" s="142" t="s">
        <v>227</v>
      </c>
      <c r="U12" s="244"/>
      <c r="W12" s="241"/>
      <c r="X12" s="231"/>
      <c r="Y12" s="226" t="s">
        <v>87</v>
      </c>
      <c r="Z12" s="226">
        <f>IF($AA$54=8,ROUND($W$24*$M$12/100,2),0)</f>
        <v>0</v>
      </c>
      <c r="AA12" s="226">
        <f>IF($Z$12&lt;0,1,0)</f>
        <v>0</v>
      </c>
      <c r="AB12" s="226"/>
      <c r="AD12" s="226"/>
      <c r="AE12" s="226">
        <v>200</v>
      </c>
      <c r="AF12" s="226">
        <v>0.91</v>
      </c>
      <c r="AG12" s="226">
        <f>(AF12+AH12)/2</f>
        <v>0.92999999999999994</v>
      </c>
      <c r="AH12" s="226">
        <v>0.95</v>
      </c>
      <c r="AI12" s="226"/>
      <c r="AJ12" s="229"/>
      <c r="AK12" s="229" t="s">
        <v>932</v>
      </c>
      <c r="AL12" s="226"/>
      <c r="AM12" s="243" t="s">
        <v>974</v>
      </c>
      <c r="AN12" s="243"/>
      <c r="AO12" s="243"/>
      <c r="AP12" s="243"/>
      <c r="AQ12" s="243"/>
      <c r="AR12" s="243"/>
      <c r="AS12" s="243"/>
      <c r="AT12" s="226"/>
      <c r="AU12" s="226"/>
      <c r="AV12" s="226"/>
      <c r="AW12" s="226"/>
      <c r="AX12" s="226" t="s">
        <v>681</v>
      </c>
      <c r="AY12" s="258" t="str">
        <f>IF($I$11="","PAS DE VIANDES",$I$11)</f>
        <v>PAS DE VIANDES</v>
      </c>
      <c r="AZ12" s="226">
        <f>IF($I$11="",0,VLOOKUP($I$11,VDS!$A$2:$AJ$107,3,0))</f>
        <v>0</v>
      </c>
      <c r="BA12" s="226">
        <f>IF($I$11="",0,VLOOKUP($I$11,VDS!$A$2:$AJ$107,4,0))</f>
        <v>0</v>
      </c>
      <c r="BB12" s="226">
        <f>IF($I$11="",0,VLOOKUP($I$11,VDS!$A$2:$AJ$107,5,0))</f>
        <v>0</v>
      </c>
      <c r="BC12" s="226">
        <f>IF($I$11="",0,VLOOKUP($I$11,VDS!$A$2:$AJ$107,6,0))</f>
        <v>0</v>
      </c>
      <c r="BD12" s="226">
        <f>IF($I$11="",0,VLOOKUP($I$11,VDS!$A$2:$AJ$107,7,0))</f>
        <v>0</v>
      </c>
      <c r="BE12" s="226">
        <f>IF($I$11="",0,VLOOKUP($I$11,VDS!$A$2:$AJ$107,8,0)/1000)</f>
        <v>0</v>
      </c>
      <c r="BF12" s="226">
        <f>IF($I$11="",0,VLOOKUP($I$11,VDS!$A$2:$AJ$107,9,0)/1000)</f>
        <v>0</v>
      </c>
      <c r="BG12" s="226">
        <f>IF($I$11="",0,VLOOKUP($I$11,VDS!$A$2:$AJ$107,8,0)/1000)</f>
        <v>0</v>
      </c>
      <c r="BH12" s="226">
        <f>IF($I$11="",0,VLOOKUP($I$11,VDS!$A$2:$AJ$107,9,0)/1000)</f>
        <v>0</v>
      </c>
      <c r="BI12" s="226">
        <f>IF($I$11="",0,VLOOKUP($I$11,VDS!$A$2:$AJ$107,10,0))</f>
        <v>0</v>
      </c>
      <c r="BJ12" s="226">
        <f>IF($I$11="",0,VLOOKUP($I$11,VDS!$A$2:$AJ$107,11,0))</f>
        <v>0</v>
      </c>
      <c r="BK12" s="226">
        <f>IF($I$11="",0,VLOOKUP($I$11,VDS!$A$2:$AJ$107,12,0))</f>
        <v>0</v>
      </c>
      <c r="BL12" s="226">
        <f>IF($I$11="",0,VLOOKUP($I$11,VDS!$A$2:$AJ$107,13,0))</f>
        <v>0</v>
      </c>
      <c r="BM12" s="226">
        <f>IF($I$11="",0,VLOOKUP($I$11,VDS!$A$2:$AJ$107,14,0))</f>
        <v>0</v>
      </c>
      <c r="BN12" s="226">
        <f>IF($I$11="",0,100-AZ12-BA12-BB12-BC12-BD12)</f>
        <v>0</v>
      </c>
      <c r="BO12" s="226">
        <f>1-$BO$13</f>
        <v>1</v>
      </c>
      <c r="BP12" s="226">
        <f>IF($I$11&gt;0,IF($X$3&gt;0,VLOOKUP($I$11,VDS!$A$2:$AJ$107,2,0),0),0)</f>
        <v>0</v>
      </c>
      <c r="BQ12" s="226">
        <f>IF($I$11=0,0,VLOOKUP($I$11,VDS!$A$2:$AJ$107,21,0))</f>
        <v>0</v>
      </c>
      <c r="BR12" s="226">
        <f>IF($I$11=0,0,VLOOKUP($I$11,VDS!$A$2:$AJ$107,22,0))</f>
        <v>0</v>
      </c>
      <c r="BS12" s="226">
        <f>IF($I$11=0,0,VLOOKUP($I$11,VDS!$A$2:$AJ$107,23,0))</f>
        <v>0</v>
      </c>
      <c r="BT12" s="226">
        <f>IF($I$11=0,0,VLOOKUP($I$11,VDS!$A$2:$AJ$107,24,0))</f>
        <v>0</v>
      </c>
      <c r="BY12" s="255" t="s">
        <v>541</v>
      </c>
      <c r="BZ12" s="256">
        <v>1</v>
      </c>
      <c r="CA12" s="256">
        <v>1</v>
      </c>
      <c r="CB12" s="256">
        <v>0</v>
      </c>
      <c r="CI12" s="239" t="s">
        <v>380</v>
      </c>
      <c r="CJ12" s="226"/>
      <c r="CK12" s="226"/>
      <c r="CL12" s="226"/>
      <c r="CM12" s="226"/>
      <c r="CN12" s="226"/>
      <c r="CO12" s="226"/>
      <c r="CP12" s="226"/>
      <c r="CQ12" s="226"/>
      <c r="CR12" s="226"/>
      <c r="CS12" s="226"/>
      <c r="CT12" s="226"/>
      <c r="CU12" s="226"/>
      <c r="CV12" s="226"/>
      <c r="CW12" s="226"/>
      <c r="CX12" s="226"/>
      <c r="CY12" s="226"/>
      <c r="CZ12" s="226"/>
      <c r="DA12" s="226">
        <v>4</v>
      </c>
      <c r="DB12" s="226">
        <v>2.5</v>
      </c>
      <c r="DC12" s="226">
        <v>0</v>
      </c>
      <c r="DD12" s="226"/>
      <c r="DE12" s="226"/>
      <c r="DH12" s="226" t="str">
        <f>HLS!$A11</f>
        <v>Agepi Omega 3 et 6</v>
      </c>
      <c r="DI12" s="226" t="str">
        <f>LGS!$A11</f>
        <v>Endive - CUITE</v>
      </c>
      <c r="DJ12" s="226" t="str">
        <f>FCS!$A11</f>
        <v>Banane</v>
      </c>
      <c r="DK12" s="226" t="str">
        <f>VDS!$A11</f>
        <v>Boeuf, steak haché 5% MG - CUIT</v>
      </c>
      <c r="DL12" s="251"/>
      <c r="DM12" s="226">
        <f>'OPT1'!$A11</f>
        <v>0</v>
      </c>
      <c r="DN12" s="226" t="str">
        <f>'OPT2'!$A11</f>
        <v>Brassé 0%</v>
      </c>
    </row>
    <row r="13" spans="1:118" ht="25.2" customHeight="1">
      <c r="A13" s="33"/>
      <c r="B13" s="222"/>
      <c r="C13" s="220"/>
      <c r="D13" s="221"/>
      <c r="E13" s="39"/>
      <c r="F13" s="50" t="s">
        <v>678</v>
      </c>
      <c r="G13" s="17"/>
      <c r="H13" s="75" t="s">
        <v>86</v>
      </c>
      <c r="I13" s="174"/>
      <c r="J13" s="173"/>
      <c r="K13" s="68" t="str">
        <f>IF($I$13&gt;0,IF($Z$3&gt;0,""&amp;VLOOKUP($I$13,FCS!$A$2:$AC$100,19,0),""),"")</f>
        <v/>
      </c>
      <c r="L13" s="74"/>
      <c r="M13" s="38">
        <f>IF($I$13&gt;0,IF($Z$3&gt;0,VLOOKUP($I$13,FCS!$A$2:$AC$100,2,0),0),0)</f>
        <v>0</v>
      </c>
      <c r="N13" s="38"/>
      <c r="O13" s="38"/>
      <c r="P13" s="38"/>
      <c r="Q13" s="38"/>
      <c r="R13" s="137"/>
      <c r="S13" s="143"/>
      <c r="T13" s="142" t="s">
        <v>228</v>
      </c>
      <c r="U13" s="244"/>
      <c r="W13" s="241"/>
      <c r="X13" s="231"/>
      <c r="Y13" s="226" t="s">
        <v>86</v>
      </c>
      <c r="Z13" s="226">
        <f>IF($AA$54=8,ROUND($W$25*$M$13/100,2),0)</f>
        <v>0</v>
      </c>
      <c r="AA13" s="226">
        <f>IF($Z$13&lt;0,1,0)</f>
        <v>0</v>
      </c>
      <c r="AB13" s="226"/>
      <c r="AD13" s="226"/>
      <c r="AE13" s="226"/>
      <c r="AF13" s="226"/>
      <c r="AG13" s="226" t="s">
        <v>911</v>
      </c>
      <c r="AH13" s="226"/>
      <c r="AI13" s="226"/>
      <c r="AJ13" s="226"/>
      <c r="AK13" s="226"/>
      <c r="AL13" s="226"/>
      <c r="AM13" s="242" t="s">
        <v>396</v>
      </c>
      <c r="AN13" s="238"/>
      <c r="AO13" s="238"/>
      <c r="AP13" s="238"/>
      <c r="AQ13" s="238"/>
      <c r="AR13" s="238"/>
      <c r="AS13" s="238"/>
      <c r="AT13" s="226"/>
      <c r="AU13" s="226"/>
      <c r="AV13" s="226"/>
      <c r="AW13" s="226"/>
      <c r="AX13" s="226" t="s">
        <v>682</v>
      </c>
      <c r="AY13" s="258" t="str">
        <f>IF($I$15="","PAS DE VIANDES",$I$15)</f>
        <v>PAS DE VIANDES</v>
      </c>
      <c r="AZ13" s="226">
        <f>IF($I$15="",0,VLOOKUP($I$15,VDS!$A$2:$AJ$107,3,0))</f>
        <v>0</v>
      </c>
      <c r="BA13" s="226">
        <f>IF($I$15="",0,VLOOKUP($I$15,VDS!$A$2:$AJ$107,4,0))</f>
        <v>0</v>
      </c>
      <c r="BB13" s="226">
        <f>IF($I$15="",0,VLOOKUP($I$15,VDS!$A$2:$AJ$107,5,0))</f>
        <v>0</v>
      </c>
      <c r="BC13" s="226">
        <f>IF($I$15="",0,VLOOKUP($I$15,VDS!$A$2:$AJ$107,6,0))</f>
        <v>0</v>
      </c>
      <c r="BD13" s="226">
        <f>IF($I$15="",0,VLOOKUP($I$15,VDS!$A$2:$AJ$107,7,0))</f>
        <v>0</v>
      </c>
      <c r="BE13" s="226">
        <f>IF($I$15="",0,VLOOKUP($I$15,VDS!$A$2:$AJ$107,8,0)/1000)</f>
        <v>0</v>
      </c>
      <c r="BF13" s="226">
        <f>IF($I$15="",0,VLOOKUP($I$15,VDS!$A$2:$AJ$107,9,0)/1000)</f>
        <v>0</v>
      </c>
      <c r="BG13" s="226">
        <f>IF($I$15="",0,VLOOKUP($I$15,VDS!$A$2:$AJ$107,8,0)/1000)</f>
        <v>0</v>
      </c>
      <c r="BH13" s="226">
        <f>IF($I$15="",0,VLOOKUP($I$15,VDS!$A$2:$AJ$107,9,0)/1000)</f>
        <v>0</v>
      </c>
      <c r="BI13" s="226">
        <f>IF($I$15="",0,VLOOKUP($I$15,VDS!$A$2:$AJ$107,10,0))</f>
        <v>0</v>
      </c>
      <c r="BJ13" s="226">
        <f>IF($I$15="",0,VLOOKUP($I$15,VDS!$A$2:$AJ$107,11,0))</f>
        <v>0</v>
      </c>
      <c r="BK13" s="226">
        <f>IF($I$15="",0,VLOOKUP($I$15,VDS!$A$2:$AJ$107,12,0))</f>
        <v>0</v>
      </c>
      <c r="BL13" s="226">
        <f>IF($I$15="",0,VLOOKUP($I$15,VDS!$A$2:$AJ$107,13,0))</f>
        <v>0</v>
      </c>
      <c r="BM13" s="226">
        <f>IF($I$15="",0,VLOOKUP($I$15,VDS!$A$2:$AJ$107,14,0))</f>
        <v>0</v>
      </c>
      <c r="BN13" s="226">
        <f>IF($I$15="",0,100-AZ13-BA13-BB13-BC13-BD13)</f>
        <v>0</v>
      </c>
      <c r="BO13" s="226">
        <f>IF($BJ$17=1,$K$15/100,0)</f>
        <v>0</v>
      </c>
      <c r="BP13" s="226">
        <f>IF($I$15&gt;0,IF($X$3&gt;0,VLOOKUP($I$15,VDS!$A$2:$AJ$107,2,0),0),0)</f>
        <v>0</v>
      </c>
      <c r="BQ13" s="226">
        <f>IF($I$15=0,0,VLOOKUP($I$15,VDS!$A$2:$AJ$107,21,0))</f>
        <v>0</v>
      </c>
      <c r="BR13" s="226">
        <f>IF($I$15=0,0,VLOOKUP($I$15,VDS!$A$2:$AJ$107,22,0))</f>
        <v>0</v>
      </c>
      <c r="BS13" s="226">
        <f>IF($I$15=0,0,VLOOKUP($I$15,VDS!$A$2:$AJ$107,23,0))</f>
        <v>0</v>
      </c>
      <c r="BT13" s="226">
        <f>IF($I$15=0,0,VLOOKUP($I$15,VDS!$A$2:$AJ$107,24,0))</f>
        <v>0</v>
      </c>
      <c r="BY13" s="255" t="s">
        <v>542</v>
      </c>
      <c r="BZ13" s="256">
        <v>1</v>
      </c>
      <c r="CA13" s="256">
        <v>0</v>
      </c>
      <c r="CB13" s="256">
        <v>0</v>
      </c>
      <c r="CI13" s="239" t="s">
        <v>368</v>
      </c>
      <c r="CJ13" s="226"/>
      <c r="CK13" s="226"/>
      <c r="CL13" s="226"/>
      <c r="CM13" s="226"/>
      <c r="CN13" s="226"/>
      <c r="CO13" s="226"/>
      <c r="CP13" s="226"/>
      <c r="CQ13" s="226"/>
      <c r="CR13" s="226"/>
      <c r="CS13" s="226"/>
      <c r="CT13" s="226"/>
      <c r="CU13" s="226"/>
      <c r="CV13" s="226"/>
      <c r="CW13" s="226"/>
      <c r="CX13" s="226"/>
      <c r="CY13" s="226"/>
      <c r="CZ13" s="226"/>
      <c r="DA13" s="226">
        <v>4</v>
      </c>
      <c r="DB13" s="226">
        <v>3</v>
      </c>
      <c r="DC13" s="226">
        <v>1</v>
      </c>
      <c r="DD13" s="226"/>
      <c r="DE13" s="226"/>
      <c r="DH13" s="226">
        <f>HLS!$A12</f>
        <v>0</v>
      </c>
      <c r="DI13" s="226" t="str">
        <f>LGS!$A12</f>
        <v>Haricot vert - CUIT</v>
      </c>
      <c r="DJ13" s="226" t="str">
        <f>FCS!$A12</f>
        <v>Banane plantain - CUITE</v>
      </c>
      <c r="DK13" s="226" t="str">
        <f>VDS!$A12</f>
        <v>Boeuf, steak haché 10% MG - CRU</v>
      </c>
      <c r="DL13" s="251"/>
      <c r="DM13" s="226">
        <f>'OPT1'!$A12</f>
        <v>0</v>
      </c>
      <c r="DN13" s="226" t="str">
        <f>'OPT2'!$A12</f>
        <v>Lait de chèvre 0%</v>
      </c>
    </row>
    <row r="14" spans="1:118" ht="25.2" customHeight="1">
      <c r="A14" s="33"/>
      <c r="B14" s="223"/>
      <c r="C14" s="224"/>
      <c r="D14" s="225"/>
      <c r="E14" s="39"/>
      <c r="F14" s="76"/>
      <c r="G14" s="77" t="str">
        <f>IF($W$57&gt;0,"Yaourt(s) : possible tous les jours ","")</f>
        <v/>
      </c>
      <c r="H14" s="75" t="s">
        <v>123</v>
      </c>
      <c r="I14" s="172"/>
      <c r="J14" s="173"/>
      <c r="K14" s="68" t="str">
        <f>IF($I$14&gt;0,IF($AA$3&gt;0,""&amp;VLOOKUP($I$14,HLS!$A$2:$AC$100,19,0),""),"")</f>
        <v/>
      </c>
      <c r="L14" s="74"/>
      <c r="M14" s="38">
        <f>IF($I$14&gt;0,IF($AA$3&gt;0,VLOOKUP($I$14,HLS!$A$2:$AC$100,2,0),0),0)</f>
        <v>0</v>
      </c>
      <c r="N14" s="38"/>
      <c r="O14" s="38"/>
      <c r="P14" s="38"/>
      <c r="Q14" s="38"/>
      <c r="R14" s="137"/>
      <c r="S14" s="143"/>
      <c r="T14" s="142" t="s">
        <v>927</v>
      </c>
      <c r="U14" s="244"/>
      <c r="W14" s="241"/>
      <c r="X14" s="261" t="s">
        <v>324</v>
      </c>
      <c r="Y14" s="253" t="e">
        <f>IF($Z$32&lt;$AE$11,$AF$11,IF($Z$32&lt;$AE$12,$AG$11,$AH$11))</f>
        <v>#VALUE!</v>
      </c>
      <c r="Z14" s="226" t="str">
        <f>IF($AA$54=8,$Z$32*$Y$14,"")</f>
        <v/>
      </c>
      <c r="AA14" s="226" t="e">
        <f>IF($Z$23&gt;$Z$14,1,0)</f>
        <v>#VALUE!</v>
      </c>
      <c r="AB14" s="226"/>
      <c r="AD14" s="226"/>
      <c r="AE14" s="226"/>
      <c r="AF14" s="226"/>
      <c r="AG14" s="226"/>
      <c r="AH14" s="226"/>
      <c r="AI14" s="226"/>
      <c r="AJ14" s="226"/>
      <c r="AK14" s="226"/>
      <c r="AL14" s="226"/>
      <c r="AM14" s="229" t="str">
        <f>IF($Z$101&lt;0,"",IF($C$15&gt;0,IF($W$61=1,IF($Z$63=0,"",$AM$6),""),""))</f>
        <v/>
      </c>
      <c r="AN14" s="229"/>
      <c r="AO14" s="229"/>
      <c r="AP14" s="229"/>
      <c r="AQ14" s="229"/>
      <c r="AR14" s="229"/>
      <c r="AS14" s="229"/>
      <c r="AT14" s="226"/>
      <c r="AU14" s="226"/>
      <c r="AV14" s="226"/>
      <c r="AW14" s="226"/>
      <c r="AX14" s="226" t="s">
        <v>683</v>
      </c>
      <c r="AY14" s="226" t="s">
        <v>684</v>
      </c>
      <c r="AZ14" s="226">
        <f>(AZ12*$BO$12)+(AZ13*$BO$13)</f>
        <v>0</v>
      </c>
      <c r="BA14" s="226">
        <f t="shared" ref="BA14:BN14" si="0">(BA12*$BO$12)+(BA13*$BO$13)</f>
        <v>0</v>
      </c>
      <c r="BB14" s="226">
        <f t="shared" si="0"/>
        <v>0</v>
      </c>
      <c r="BC14" s="226">
        <f t="shared" si="0"/>
        <v>0</v>
      </c>
      <c r="BD14" s="226">
        <f t="shared" si="0"/>
        <v>0</v>
      </c>
      <c r="BE14" s="226">
        <f t="shared" si="0"/>
        <v>0</v>
      </c>
      <c r="BF14" s="226">
        <f t="shared" si="0"/>
        <v>0</v>
      </c>
      <c r="BG14" s="226">
        <f t="shared" si="0"/>
        <v>0</v>
      </c>
      <c r="BH14" s="226">
        <f t="shared" si="0"/>
        <v>0</v>
      </c>
      <c r="BI14" s="226">
        <f t="shared" si="0"/>
        <v>0</v>
      </c>
      <c r="BJ14" s="226">
        <f t="shared" si="0"/>
        <v>0</v>
      </c>
      <c r="BK14" s="226">
        <f t="shared" si="0"/>
        <v>0</v>
      </c>
      <c r="BL14" s="226">
        <f t="shared" si="0"/>
        <v>0</v>
      </c>
      <c r="BM14" s="226">
        <f t="shared" si="0"/>
        <v>0</v>
      </c>
      <c r="BN14" s="226">
        <f t="shared" si="0"/>
        <v>0</v>
      </c>
      <c r="BO14" s="226">
        <f>SUM($BO$12:$BO$13)</f>
        <v>1</v>
      </c>
      <c r="BP14" s="226">
        <f>(BP12*$BO$12)+(BP13*$BO$13)</f>
        <v>0</v>
      </c>
      <c r="BQ14" s="226">
        <f>((BQ12*$BO$12)+(BQ13*$BO$13))*BQ15*BQ16</f>
        <v>0</v>
      </c>
      <c r="BR14" s="226">
        <f>((BR12*$BO$12)+(BR13*$BO$13))*BR15*BR16</f>
        <v>0</v>
      </c>
      <c r="BS14" s="226">
        <f>((BS12*$BO$12)+(BS13*$BO$13))*BS15*BS16</f>
        <v>0</v>
      </c>
      <c r="BT14" s="226">
        <f>((BT12*$BO$12)+(BT13*$BO$13))*BT15*BT16</f>
        <v>0</v>
      </c>
      <c r="BU14" s="226"/>
      <c r="BY14" s="255" t="s">
        <v>543</v>
      </c>
      <c r="BZ14" s="256">
        <v>1.1000000000000001</v>
      </c>
      <c r="CA14" s="256">
        <v>0</v>
      </c>
      <c r="CB14" s="256">
        <v>0</v>
      </c>
      <c r="CI14" s="239" t="s">
        <v>369</v>
      </c>
      <c r="CJ14" s="226"/>
      <c r="CK14" s="226"/>
      <c r="CL14" s="226"/>
      <c r="CM14" s="226"/>
      <c r="CN14" s="226"/>
      <c r="CO14" s="226"/>
      <c r="CP14" s="226"/>
      <c r="CQ14" s="226"/>
      <c r="CR14" s="226"/>
      <c r="CS14" s="226"/>
      <c r="CT14" s="226"/>
      <c r="CU14" s="226"/>
      <c r="CV14" s="226"/>
      <c r="CW14" s="226"/>
      <c r="CX14" s="226"/>
      <c r="CY14" s="226"/>
      <c r="CZ14" s="226"/>
      <c r="DA14" s="226">
        <v>4</v>
      </c>
      <c r="DB14" s="226">
        <v>3</v>
      </c>
      <c r="DC14" s="226">
        <v>0</v>
      </c>
      <c r="DD14" s="226"/>
      <c r="DE14" s="226"/>
      <c r="DH14" s="226">
        <f>HLS!$A13</f>
        <v>0</v>
      </c>
      <c r="DI14" s="226" t="str">
        <f>LGS!$A13</f>
        <v>Haricot vert surgelé - CUIT</v>
      </c>
      <c r="DJ14" s="226" t="str">
        <f>FCS!$A13</f>
        <v>Quinoa - CUIT</v>
      </c>
      <c r="DK14" s="226" t="str">
        <f>VDS!$A13</f>
        <v>Boeuf, steak haché 10% MG - CUIT</v>
      </c>
      <c r="DL14" s="251"/>
      <c r="DM14" s="226">
        <f>'OPT1'!$A13</f>
        <v>0</v>
      </c>
      <c r="DN14" s="226">
        <f>'OPT2'!$A13</f>
        <v>0</v>
      </c>
    </row>
    <row r="15" spans="1:118" ht="25.2" customHeight="1">
      <c r="A15" s="33"/>
      <c r="B15" s="50" t="s">
        <v>330</v>
      </c>
      <c r="C15" s="7"/>
      <c r="D15" s="51" t="s">
        <v>331</v>
      </c>
      <c r="E15" s="39"/>
      <c r="F15" s="78"/>
      <c r="G15" s="79"/>
      <c r="H15" s="67" t="s">
        <v>679</v>
      </c>
      <c r="I15" s="172"/>
      <c r="J15" s="185"/>
      <c r="K15" s="17"/>
      <c r="L15" s="51" t="s">
        <v>680</v>
      </c>
      <c r="M15" s="37"/>
      <c r="N15" s="37"/>
      <c r="O15" s="37"/>
      <c r="P15" s="37"/>
      <c r="Q15" s="37"/>
      <c r="R15" s="137"/>
      <c r="S15" s="143"/>
      <c r="T15" s="142" t="s">
        <v>928</v>
      </c>
      <c r="U15" s="244"/>
      <c r="V15" s="254"/>
      <c r="W15" s="241"/>
      <c r="X15" s="261" t="s">
        <v>325</v>
      </c>
      <c r="Y15" s="253" t="e">
        <f>IF($Z$32&lt;$AE$11,$AF$12,IF($Z$32&lt;$AE$12,$AG$12,$AH$12))</f>
        <v>#VALUE!</v>
      </c>
      <c r="Z15" s="226" t="str">
        <f>IF($AA$54=8,$Z$32*$Y$15,"")</f>
        <v/>
      </c>
      <c r="AA15" s="226" t="e">
        <f>IF($Z$23&lt;$Z$15,1,0)</f>
        <v>#VALUE!</v>
      </c>
      <c r="AB15" s="226"/>
      <c r="AD15" s="226"/>
      <c r="AE15" s="242" t="s">
        <v>665</v>
      </c>
      <c r="AF15" s="242"/>
      <c r="AG15" s="242"/>
      <c r="AH15" s="242"/>
      <c r="AI15" s="226"/>
      <c r="AJ15" s="242" t="s">
        <v>719</v>
      </c>
      <c r="AK15" s="242"/>
      <c r="AL15" s="226"/>
      <c r="AM15" s="229" t="str">
        <f>IF($Z$101&lt;0,"",IF($AA$47=1,IF($AA$16&gt;0,IF($Z$63=0,$AM$9,""),""),""))</f>
        <v/>
      </c>
      <c r="AN15" s="229"/>
      <c r="AO15" s="229"/>
      <c r="AP15" s="229"/>
      <c r="AQ15" s="229"/>
      <c r="AR15" s="229"/>
      <c r="AS15" s="229"/>
      <c r="AT15" s="226"/>
      <c r="AU15" s="226"/>
      <c r="AV15" s="226"/>
      <c r="AW15" s="226"/>
      <c r="AX15" s="226"/>
      <c r="AY15" s="226" t="s">
        <v>685</v>
      </c>
      <c r="AZ15" s="226" t="e">
        <f>$W$20</f>
        <v>#N/A</v>
      </c>
      <c r="BA15" s="226"/>
      <c r="BB15" s="226"/>
      <c r="BC15" s="226"/>
      <c r="BD15" s="226"/>
      <c r="BE15" s="226"/>
      <c r="BF15" s="226"/>
      <c r="BG15" s="226"/>
      <c r="BH15" s="226"/>
      <c r="BI15" s="254"/>
      <c r="BJ15" s="226"/>
      <c r="BK15" s="226"/>
      <c r="BL15" s="226"/>
      <c r="BM15" s="226"/>
      <c r="BN15" s="226"/>
      <c r="BO15" s="226"/>
      <c r="BP15" s="226" t="s">
        <v>703</v>
      </c>
      <c r="BQ15" s="226">
        <f>IF($BO$12&gt;0,IF(BQ12&gt;0,1,$BU$16),1)</f>
        <v>0.8</v>
      </c>
      <c r="BR15" s="226">
        <f>IF($BO$12&gt;0,IF(BR12&gt;0,1,$BU$16),1)</f>
        <v>0.8</v>
      </c>
      <c r="BS15" s="226">
        <f>IF($BO$12&gt;0,IF(BS12&gt;0,1,$BU$16),1)</f>
        <v>0.8</v>
      </c>
      <c r="BT15" s="226">
        <f>IF($BO$12&gt;0,IF(BT12&gt;0,1,$BU$16),1)</f>
        <v>0.8</v>
      </c>
      <c r="BU15" s="231" t="s">
        <v>718</v>
      </c>
      <c r="BV15" s="262"/>
      <c r="BY15" s="255" t="s">
        <v>544</v>
      </c>
      <c r="BZ15" s="256">
        <v>1</v>
      </c>
      <c r="CA15" s="256">
        <v>1</v>
      </c>
      <c r="CB15" s="256">
        <v>0</v>
      </c>
      <c r="CI15" s="239" t="s">
        <v>370</v>
      </c>
      <c r="CJ15" s="226"/>
      <c r="CK15" s="226"/>
      <c r="CL15" s="226"/>
      <c r="CM15" s="226"/>
      <c r="CN15" s="226"/>
      <c r="CO15" s="226"/>
      <c r="CP15" s="226"/>
      <c r="CQ15" s="226"/>
      <c r="CR15" s="226"/>
      <c r="CS15" s="226"/>
      <c r="CT15" s="226"/>
      <c r="CU15" s="226"/>
      <c r="CV15" s="226"/>
      <c r="CW15" s="226"/>
      <c r="CX15" s="226"/>
      <c r="CY15" s="226"/>
      <c r="CZ15" s="226"/>
      <c r="DA15" s="226">
        <v>4</v>
      </c>
      <c r="DB15" s="226">
        <v>3</v>
      </c>
      <c r="DC15" s="226">
        <v>0</v>
      </c>
      <c r="DD15" s="226"/>
      <c r="DE15" s="226"/>
      <c r="DH15" s="226">
        <f>HLS!$A14</f>
        <v>0</v>
      </c>
      <c r="DI15" s="226" t="str">
        <f>LGS!$A14</f>
        <v>Haricot vert en conserve - CUIT</v>
      </c>
      <c r="DJ15" s="226">
        <f>FCS!$A14</f>
        <v>0</v>
      </c>
      <c r="DK15" s="226" t="str">
        <f>VDS!$A14</f>
        <v>Boeuf, steak haché 15% MG - CRU</v>
      </c>
      <c r="DL15" s="251"/>
      <c r="DM15" s="226">
        <f>'OPT1'!$A14</f>
        <v>0</v>
      </c>
      <c r="DN15" s="226">
        <f>'OPT2'!$A14</f>
        <v>0</v>
      </c>
    </row>
    <row r="16" spans="1:118" ht="25.2" customHeight="1">
      <c r="A16" s="33"/>
      <c r="B16" s="179" t="s">
        <v>840</v>
      </c>
      <c r="C16" s="180"/>
      <c r="D16" s="181"/>
      <c r="E16" s="39"/>
      <c r="F16" s="105"/>
      <c r="G16" s="106"/>
      <c r="H16" s="106"/>
      <c r="I16" s="106"/>
      <c r="J16" s="106"/>
      <c r="K16" s="106"/>
      <c r="L16" s="107"/>
      <c r="M16" s="38"/>
      <c r="N16" s="38"/>
      <c r="O16" s="37"/>
      <c r="P16" s="37"/>
      <c r="Q16" s="38"/>
      <c r="R16" s="137"/>
      <c r="S16" s="143"/>
      <c r="T16" s="141"/>
      <c r="U16" s="244"/>
      <c r="W16" s="241"/>
      <c r="X16" s="261" t="s">
        <v>328</v>
      </c>
      <c r="Y16" s="253" t="s">
        <v>326</v>
      </c>
      <c r="Z16" s="226" t="e">
        <f>ROUND(($Z$23-$Z$32)*100/$Z$32,2)</f>
        <v>#VALUE!</v>
      </c>
      <c r="AA16" s="226">
        <f>IF((SUM($AA$39:$AA$52)+$X$53)=14,SUM(AA10:AA15),0)</f>
        <v>0</v>
      </c>
      <c r="AB16" s="226"/>
      <c r="AD16" s="226"/>
      <c r="AE16" s="226" t="s">
        <v>668</v>
      </c>
      <c r="AF16" s="226" t="s">
        <v>666</v>
      </c>
      <c r="AG16" s="226" t="s">
        <v>669</v>
      </c>
      <c r="AH16" s="226" t="s">
        <v>667</v>
      </c>
      <c r="AI16" s="226"/>
      <c r="AJ16" s="226" t="str">
        <f>IF($I$7&lt;&gt;"",IF($I$7=$AD$28,"MANU","AUTO"),"VIDE")</f>
        <v>VIDE</v>
      </c>
      <c r="AK16" s="226">
        <f>IF($I$7&lt;&gt;"",IF($I$7=$AD$28,2,1),0)</f>
        <v>0</v>
      </c>
      <c r="AL16" s="226"/>
      <c r="AM16" s="229" t="e">
        <f>IF($Z$101&lt;0,"",IF($AO$47=17,$AM$10,IF($AO$47=16,$AM$11,"")))</f>
        <v>#VALUE!</v>
      </c>
      <c r="AN16" s="229"/>
      <c r="AO16" s="229"/>
      <c r="AP16" s="229"/>
      <c r="AQ16" s="229"/>
      <c r="AR16" s="229"/>
      <c r="AS16" s="229"/>
      <c r="AT16" s="226"/>
      <c r="AU16" s="226"/>
      <c r="AV16" s="226"/>
      <c r="AW16" s="226"/>
      <c r="AX16" s="226"/>
      <c r="AY16" s="226" t="s">
        <v>686</v>
      </c>
      <c r="AZ16" s="253" t="e">
        <f>$BK$70</f>
        <v>#VALUE!</v>
      </c>
      <c r="BA16" s="253" t="s">
        <v>768</v>
      </c>
      <c r="BB16" s="226"/>
      <c r="BC16" s="231" t="s">
        <v>687</v>
      </c>
      <c r="BD16" s="231"/>
      <c r="BE16" s="231"/>
      <c r="BF16" s="226"/>
      <c r="BG16" s="226"/>
      <c r="BH16" s="226" t="s">
        <v>705</v>
      </c>
      <c r="BI16" s="226" t="s">
        <v>706</v>
      </c>
      <c r="BJ16" s="226" t="s">
        <v>707</v>
      </c>
      <c r="BK16" s="226"/>
      <c r="BL16" s="226"/>
      <c r="BM16" s="226"/>
      <c r="BN16" s="226"/>
      <c r="BO16" s="226"/>
      <c r="BP16" s="226" t="s">
        <v>704</v>
      </c>
      <c r="BQ16" s="226">
        <f>IF($BO$13&gt;0,IF(BQ13&gt;0,1,$BU$16),1)</f>
        <v>1</v>
      </c>
      <c r="BR16" s="226">
        <f>IF($BO$13&gt;0,IF(BR13&gt;0,1,$BU$16),1)</f>
        <v>1</v>
      </c>
      <c r="BS16" s="226">
        <f>IF($BO$13&gt;0,IF(BS13&gt;0,1,$BU$16),1)</f>
        <v>1</v>
      </c>
      <c r="BT16" s="226">
        <f>IF($BO$13&gt;0,IF(BT13&gt;0,1,$BU$16),1)</f>
        <v>1</v>
      </c>
      <c r="BU16" s="226">
        <v>0.8</v>
      </c>
      <c r="BY16" s="255" t="s">
        <v>342</v>
      </c>
      <c r="BZ16" s="256">
        <v>1</v>
      </c>
      <c r="CA16" s="256">
        <v>0</v>
      </c>
      <c r="CB16" s="256">
        <v>0</v>
      </c>
      <c r="CI16" s="239" t="s">
        <v>371</v>
      </c>
      <c r="CJ16" s="226"/>
      <c r="CK16" s="226"/>
      <c r="CL16" s="226"/>
      <c r="CM16" s="226"/>
      <c r="CN16" s="226"/>
      <c r="CO16" s="226"/>
      <c r="CP16" s="226"/>
      <c r="CQ16" s="226"/>
      <c r="CR16" s="226"/>
      <c r="CS16" s="226"/>
      <c r="CT16" s="226"/>
      <c r="CU16" s="226"/>
      <c r="CV16" s="226"/>
      <c r="CW16" s="226"/>
      <c r="CX16" s="226"/>
      <c r="CY16" s="226"/>
      <c r="CZ16" s="226"/>
      <c r="DA16" s="226">
        <v>4</v>
      </c>
      <c r="DB16" s="226">
        <v>3</v>
      </c>
      <c r="DC16" s="226">
        <v>0</v>
      </c>
      <c r="DD16" s="226"/>
      <c r="DE16" s="226"/>
      <c r="DH16" s="226">
        <f>HLS!$A15</f>
        <v>0</v>
      </c>
      <c r="DI16" s="226" t="str">
        <f>LGS!$A15</f>
        <v xml:space="preserve">Mâche, salade - CRUE </v>
      </c>
      <c r="DJ16" s="226">
        <f>FCS!$A15</f>
        <v>0</v>
      </c>
      <c r="DK16" s="226" t="str">
        <f>VDS!$A15</f>
        <v>Boeuf, steak haché 15% MG - CUIT</v>
      </c>
      <c r="DL16" s="251"/>
      <c r="DM16" s="226">
        <f>'OPT1'!$A15</f>
        <v>0</v>
      </c>
      <c r="DN16" s="226">
        <f>'OPT2'!$A15</f>
        <v>0</v>
      </c>
    </row>
    <row r="17" spans="1:118" ht="25.2" customHeight="1" thickBot="1">
      <c r="A17" s="33"/>
      <c r="B17" s="182"/>
      <c r="C17" s="180"/>
      <c r="D17" s="181"/>
      <c r="E17" s="39"/>
      <c r="F17" s="186" t="s">
        <v>870</v>
      </c>
      <c r="G17" s="187"/>
      <c r="H17" s="61"/>
      <c r="I17" s="21" t="str">
        <f>$AS$20</f>
        <v/>
      </c>
      <c r="J17" s="25"/>
      <c r="K17" s="25"/>
      <c r="L17" s="85"/>
      <c r="M17" s="38"/>
      <c r="N17" s="38"/>
      <c r="O17" s="37"/>
      <c r="P17" s="37"/>
      <c r="Q17" s="38"/>
      <c r="R17" s="137"/>
      <c r="S17" s="145"/>
      <c r="T17" s="146"/>
      <c r="U17" s="146"/>
      <c r="V17" s="263"/>
      <c r="W17" s="226"/>
      <c r="X17" s="226"/>
      <c r="Z17" s="226"/>
      <c r="AA17" s="226"/>
      <c r="AB17" s="226"/>
      <c r="AD17" s="226"/>
      <c r="AE17" s="226">
        <f>$L$9</f>
        <v>0</v>
      </c>
      <c r="AF17" s="226" t="e">
        <f>ROUNDDOWN(($Z$32/100*$AE$17)/(2*$M$14/100),0)*2</f>
        <v>#VALUE!</v>
      </c>
      <c r="AG17" s="226" t="e">
        <f>$AF$17*$M$14/100</f>
        <v>#VALUE!</v>
      </c>
      <c r="AH17" s="226" t="e">
        <f>ROUND(100*$AG$17/$Z$32,2)</f>
        <v>#VALUE!</v>
      </c>
      <c r="AI17" s="226"/>
      <c r="AJ17" s="226"/>
      <c r="AK17" s="226"/>
      <c r="AL17" s="226"/>
      <c r="AM17" s="229" t="str">
        <f>IF($X$103&lt;0,"",IF($Z$101&lt;0,"Ration trop faible en kcal pour utiliser le mode 50/50, merci de passer en 100% RM",""))</f>
        <v/>
      </c>
      <c r="AN17" s="229"/>
      <c r="AO17" s="229"/>
      <c r="AP17" s="229"/>
      <c r="AQ17" s="229"/>
      <c r="AR17" s="229"/>
      <c r="AS17" s="229"/>
      <c r="AT17" s="226"/>
      <c r="AU17" s="226"/>
      <c r="AV17" s="226"/>
      <c r="AW17" s="226"/>
      <c r="AX17" s="226"/>
      <c r="AY17" s="226" t="s">
        <v>688</v>
      </c>
      <c r="AZ17" s="253" t="e">
        <f>$BK$71</f>
        <v>#VALUE!</v>
      </c>
      <c r="BA17" s="229"/>
      <c r="BB17" s="226"/>
      <c r="BC17" s="226"/>
      <c r="BD17" s="226">
        <f>IF($BO$13&gt;0,1,0)</f>
        <v>0</v>
      </c>
      <c r="BE17" s="226"/>
      <c r="BF17" s="226"/>
      <c r="BG17" s="226"/>
      <c r="BH17" s="226">
        <f>IF($I$15&lt;&gt;"",1,0)</f>
        <v>0</v>
      </c>
      <c r="BI17" s="226">
        <f>IF($I$15=$I$11,2,0)</f>
        <v>2</v>
      </c>
      <c r="BJ17" s="226">
        <f>$BH$17+$BI$17</f>
        <v>2</v>
      </c>
      <c r="BK17" s="226"/>
      <c r="BL17" s="226"/>
      <c r="BM17" s="226"/>
      <c r="BN17" s="226"/>
      <c r="BO17" s="226"/>
      <c r="BP17" s="226"/>
      <c r="BQ17" s="226"/>
      <c r="BR17" s="226"/>
      <c r="BS17" s="226"/>
      <c r="BT17" s="226"/>
      <c r="BU17" s="226"/>
      <c r="BY17" s="255" t="s">
        <v>545</v>
      </c>
      <c r="BZ17" s="256">
        <v>1</v>
      </c>
      <c r="CA17" s="256">
        <v>0</v>
      </c>
      <c r="CB17" s="256">
        <v>0</v>
      </c>
      <c r="CI17" s="239"/>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H17" s="226">
        <f>HLS!$A16</f>
        <v>0</v>
      </c>
      <c r="DI17" s="226" t="str">
        <f>LGS!$A16</f>
        <v>Petits pois, carottes - CUITS</v>
      </c>
      <c r="DJ17" s="226">
        <f>FCS!$A16</f>
        <v>0</v>
      </c>
      <c r="DK17" s="226" t="str">
        <f>VDS!$A16</f>
        <v>Canard, viande - CRUE</v>
      </c>
      <c r="DL17" s="251"/>
      <c r="DM17" s="226">
        <f>'OPT1'!$A16</f>
        <v>0</v>
      </c>
      <c r="DN17" s="226">
        <f>'OPT2'!$A16</f>
        <v>0</v>
      </c>
    </row>
    <row r="18" spans="1:118" ht="25.2" customHeight="1">
      <c r="A18" s="33"/>
      <c r="B18" s="182"/>
      <c r="C18" s="180"/>
      <c r="D18" s="181"/>
      <c r="E18" s="41"/>
      <c r="F18" s="206" t="str">
        <f>IF($AA$55=15,IF($BV$80&gt;0,$BQ$80,"  ")&amp;$BQ$76&amp;$BQ$79&amp;$BQ$75&amp;BQ$74&amp;BQ77&amp;$X$106,"")</f>
        <v/>
      </c>
      <c r="G18" s="207"/>
      <c r="H18" s="207"/>
      <c r="I18" s="21" t="str">
        <f>IF($BD$17=0,$AS$22,$AS$21)</f>
        <v/>
      </c>
      <c r="J18" s="25"/>
      <c r="K18" s="25"/>
      <c r="L18" s="85"/>
      <c r="M18" s="38"/>
      <c r="N18" s="38"/>
      <c r="O18" s="37"/>
      <c r="P18" s="37"/>
      <c r="Q18" s="38"/>
      <c r="R18" s="10"/>
      <c r="S18" s="10"/>
      <c r="T18" s="10"/>
      <c r="U18" s="8"/>
      <c r="W18" s="226"/>
      <c r="Z18" s="226"/>
      <c r="AA18" s="226"/>
      <c r="AB18" s="226"/>
      <c r="AD18" s="226"/>
      <c r="AE18" s="226"/>
      <c r="AF18" s="226"/>
      <c r="AG18" s="226"/>
      <c r="AH18" s="226"/>
      <c r="AI18" s="226"/>
      <c r="AJ18" s="226"/>
      <c r="AK18" s="226"/>
      <c r="AL18" s="226"/>
      <c r="AM18" s="229" t="str">
        <f>IF($AB$51&lt;0,$AM$12,"")</f>
        <v/>
      </c>
      <c r="AN18" s="229"/>
      <c r="AO18" s="229"/>
      <c r="AP18" s="229"/>
      <c r="AQ18" s="229"/>
      <c r="AR18" s="229"/>
      <c r="AS18" s="229"/>
      <c r="AT18" s="226"/>
      <c r="AU18" s="226"/>
      <c r="AV18" s="226"/>
      <c r="AW18" s="226"/>
      <c r="AX18" s="226"/>
      <c r="AY18" s="226" t="s">
        <v>689</v>
      </c>
      <c r="AZ18" s="226" t="e">
        <f>SUM($AZ$16:$AZ$17)</f>
        <v>#VALUE!</v>
      </c>
      <c r="BA18" s="226"/>
      <c r="BB18" s="226"/>
      <c r="BC18" s="226"/>
      <c r="BD18" s="226"/>
      <c r="BE18" s="226"/>
      <c r="BF18" s="226"/>
      <c r="BG18" s="226"/>
      <c r="BH18" s="226"/>
      <c r="BI18" s="254"/>
      <c r="BQ18" s="226">
        <f>IF($I$11&lt;&gt;"",VLOOKUP($I$11,VDS!$A$2:$AJ$107,25,0),0)</f>
        <v>0</v>
      </c>
      <c r="BR18" s="226" t="s">
        <v>715</v>
      </c>
      <c r="BY18" s="255" t="s">
        <v>546</v>
      </c>
      <c r="BZ18" s="256">
        <v>1</v>
      </c>
      <c r="CA18" s="256">
        <v>0</v>
      </c>
      <c r="CB18" s="256">
        <v>0</v>
      </c>
      <c r="CD18" s="231" t="s">
        <v>353</v>
      </c>
      <c r="CE18" s="231"/>
      <c r="CF18" s="226" t="s">
        <v>149</v>
      </c>
      <c r="CG18" s="226" t="s">
        <v>150</v>
      </c>
      <c r="CI18" s="239"/>
      <c r="CJ18" s="226"/>
      <c r="CK18" s="226"/>
      <c r="CL18" s="226"/>
      <c r="CM18" s="226"/>
      <c r="CN18" s="226"/>
      <c r="CO18" s="226"/>
      <c r="CP18" s="226"/>
      <c r="CQ18" s="226"/>
      <c r="CR18" s="226"/>
      <c r="CS18" s="226"/>
      <c r="CT18" s="226"/>
      <c r="CU18" s="226"/>
      <c r="CV18" s="226"/>
      <c r="CW18" s="226"/>
      <c r="CX18" s="226"/>
      <c r="CY18" s="226"/>
      <c r="CZ18" s="226"/>
      <c r="DA18" s="226"/>
      <c r="DB18" s="226"/>
      <c r="DC18" s="226"/>
      <c r="DD18" s="226"/>
      <c r="DE18" s="226"/>
      <c r="DH18" s="226">
        <f>HLS!$A17</f>
        <v>0</v>
      </c>
      <c r="DI18" s="226" t="str">
        <f>LGS!$A17</f>
        <v>Potiron - CUIT</v>
      </c>
      <c r="DJ18" s="226">
        <f>FCS!$A17</f>
        <v>0</v>
      </c>
      <c r="DK18" s="226" t="str">
        <f>VDS!$A17</f>
        <v>Canard, viande - CUITE</v>
      </c>
      <c r="DL18" s="251"/>
      <c r="DM18" s="226">
        <f>'OPT1'!$A17</f>
        <v>0</v>
      </c>
      <c r="DN18" s="226">
        <f>'OPT2'!$A17</f>
        <v>0</v>
      </c>
    </row>
    <row r="19" spans="1:118" ht="25.2" customHeight="1">
      <c r="A19" s="33"/>
      <c r="B19" s="52" t="s">
        <v>332</v>
      </c>
      <c r="C19" s="183"/>
      <c r="D19" s="184"/>
      <c r="E19" s="42" t="str">
        <f>IF($C$19&lt;&gt;"",VLOOKUP($C$19,$BY$4:$BZ$199,2,0),"")</f>
        <v/>
      </c>
      <c r="F19" s="208"/>
      <c r="G19" s="207"/>
      <c r="H19" s="207"/>
      <c r="I19" s="21" t="str">
        <f>IF($BD$17=0,$AS$23,$AS$22)</f>
        <v/>
      </c>
      <c r="J19" s="25"/>
      <c r="K19" s="25"/>
      <c r="L19" s="85"/>
      <c r="M19" s="38"/>
      <c r="N19" s="147"/>
      <c r="O19" s="38"/>
      <c r="P19" s="38"/>
      <c r="Q19" s="38"/>
      <c r="R19" s="10"/>
      <c r="S19" s="10"/>
      <c r="T19" s="10"/>
      <c r="U19" s="8"/>
      <c r="W19" s="264" t="s">
        <v>698</v>
      </c>
      <c r="X19" s="247"/>
      <c r="Z19" s="226"/>
      <c r="AA19" s="226"/>
      <c r="AB19" s="226"/>
      <c r="AD19" s="226"/>
      <c r="AE19" s="226"/>
      <c r="AF19" s="226"/>
      <c r="AG19" s="226"/>
      <c r="AH19" s="226"/>
      <c r="AI19" s="226"/>
      <c r="AJ19" s="226"/>
      <c r="AK19" s="226"/>
      <c r="AL19" s="226"/>
      <c r="AM19" s="226"/>
      <c r="AN19" s="226"/>
      <c r="AO19" s="226"/>
      <c r="AP19" s="226"/>
      <c r="AQ19" s="226"/>
      <c r="AR19" s="242" t="s">
        <v>693</v>
      </c>
      <c r="AS19" s="242"/>
      <c r="AT19" s="242"/>
      <c r="AU19" s="226"/>
      <c r="AV19" s="226"/>
      <c r="AW19" s="226"/>
      <c r="AX19" s="226"/>
      <c r="AY19" s="226"/>
      <c r="AZ19" s="226"/>
      <c r="BA19" s="226"/>
      <c r="BB19" s="226"/>
      <c r="BC19" s="226"/>
      <c r="BD19" s="226"/>
      <c r="BE19" s="226"/>
      <c r="BF19" s="226"/>
      <c r="BG19" s="226"/>
      <c r="BH19" s="226"/>
      <c r="BI19" s="254"/>
      <c r="BN19" s="253"/>
      <c r="BQ19" s="226">
        <f>IF($I$15&lt;&gt;"",VLOOKUP($I$15,VDS!$A$2:$AJ$107,25,0),0)</f>
        <v>0</v>
      </c>
      <c r="BR19" s="226" t="s">
        <v>716</v>
      </c>
      <c r="BY19" s="255" t="s">
        <v>547</v>
      </c>
      <c r="BZ19" s="256">
        <v>1</v>
      </c>
      <c r="CA19" s="256">
        <v>1</v>
      </c>
      <c r="CB19" s="256">
        <v>0</v>
      </c>
      <c r="CD19" s="229" t="s">
        <v>354</v>
      </c>
      <c r="CE19" s="226">
        <v>1</v>
      </c>
      <c r="CF19" s="226">
        <v>0</v>
      </c>
      <c r="CG19" s="226">
        <v>0</v>
      </c>
      <c r="CI19" s="239"/>
      <c r="CJ19" s="226"/>
      <c r="CK19" s="226"/>
      <c r="CL19" s="226"/>
      <c r="CM19" s="226"/>
      <c r="CN19" s="226"/>
      <c r="CO19" s="226"/>
      <c r="CP19" s="226"/>
      <c r="CQ19" s="226"/>
      <c r="CR19" s="226"/>
      <c r="CS19" s="226"/>
      <c r="CT19" s="226"/>
      <c r="CU19" s="226"/>
      <c r="CV19" s="226"/>
      <c r="CW19" s="226"/>
      <c r="CX19" s="226"/>
      <c r="CY19" s="226"/>
      <c r="CZ19" s="226"/>
      <c r="DA19" s="226"/>
      <c r="DB19" s="226"/>
      <c r="DC19" s="226"/>
      <c r="DD19" s="226"/>
      <c r="DE19" s="226"/>
      <c r="DH19" s="226">
        <f>HLS!$A18</f>
        <v>0</v>
      </c>
      <c r="DI19" s="226" t="str">
        <f>LGS!$A18</f>
        <v>Potimarron - CUIT</v>
      </c>
      <c r="DJ19" s="226">
        <f>FCS!$A18</f>
        <v>0</v>
      </c>
      <c r="DK19" s="226" t="str">
        <f>VDS!$A18</f>
        <v>Cheval, faux-filet - CRU</v>
      </c>
      <c r="DL19" s="251"/>
      <c r="DM19" s="226">
        <f>'OPT1'!$A18</f>
        <v>0</v>
      </c>
      <c r="DN19" s="226">
        <f>'OPT2'!$A18</f>
        <v>0</v>
      </c>
    </row>
    <row r="20" spans="1:118" ht="25.2" customHeight="1">
      <c r="A20" s="33"/>
      <c r="B20" s="52" t="s">
        <v>334</v>
      </c>
      <c r="C20" s="183"/>
      <c r="D20" s="188"/>
      <c r="E20" s="42" t="str">
        <f>IF($AJ$11=1,1,IF($C$21&lt;&gt;"",VLOOKUP($C$21,$CD$4:$CG$9,2,0),""))</f>
        <v/>
      </c>
      <c r="F20" s="208"/>
      <c r="G20" s="207"/>
      <c r="H20" s="207"/>
      <c r="I20" s="21" t="str">
        <f>IF($BD$17=0,$AS$24,$AS$23)</f>
        <v/>
      </c>
      <c r="J20" s="25"/>
      <c r="K20" s="25"/>
      <c r="L20" s="86"/>
      <c r="M20" s="38"/>
      <c r="N20" s="147"/>
      <c r="O20" s="38"/>
      <c r="P20" s="38"/>
      <c r="Q20" s="38"/>
      <c r="R20" s="10"/>
      <c r="S20" s="10"/>
      <c r="T20" s="10"/>
      <c r="U20" s="6"/>
      <c r="W20" s="226" t="e">
        <f>VLOOKUP($I$7,$AD$24:$AI$28,2,0)</f>
        <v>#N/A</v>
      </c>
      <c r="X20" s="226"/>
      <c r="Y20" s="265"/>
      <c r="Z20" s="226"/>
      <c r="AA20" s="226"/>
      <c r="AB20" s="226"/>
      <c r="AD20" s="226"/>
      <c r="AE20" s="226"/>
      <c r="AF20" s="226"/>
      <c r="AG20" s="226"/>
      <c r="AH20" s="226"/>
      <c r="AI20" s="247" t="s">
        <v>10</v>
      </c>
      <c r="AJ20" s="231" t="s">
        <v>505</v>
      </c>
      <c r="AK20" s="231"/>
      <c r="AL20" s="226" t="s">
        <v>506</v>
      </c>
      <c r="AM20" s="226"/>
      <c r="AN20" s="226"/>
      <c r="AO20" s="226"/>
      <c r="AP20" s="226"/>
      <c r="AQ20" s="226"/>
      <c r="AR20" s="226" t="s">
        <v>681</v>
      </c>
      <c r="AS20" s="229" t="str">
        <f>IF($AA$55=15," "&amp;IF($X$3&gt;0,$W$23&amp;" "&amp;$X$23,"Pas de viandes"),"")</f>
        <v/>
      </c>
      <c r="AT20" s="229"/>
      <c r="AU20" s="226"/>
      <c r="AV20" s="226"/>
      <c r="AW20" s="226"/>
      <c r="AX20" s="226"/>
      <c r="AY20" s="226"/>
      <c r="AZ20" s="226"/>
      <c r="BA20" s="226"/>
      <c r="BB20" s="226"/>
      <c r="BC20" s="226"/>
      <c r="BD20" s="226"/>
      <c r="BE20" s="226"/>
      <c r="BF20" s="226"/>
      <c r="BG20" s="231" t="s">
        <v>714</v>
      </c>
      <c r="BH20" s="231"/>
      <c r="BI20" s="226" t="e">
        <f>IF($Z$32&gt;300,0,1)</f>
        <v>#VALUE!</v>
      </c>
      <c r="BK20" s="231" t="s">
        <v>425</v>
      </c>
      <c r="BL20" s="231"/>
      <c r="BM20" s="226" t="e">
        <f>VLOOKUP($C$20,$CI$4:$CO$27,7,0)</f>
        <v>#N/A</v>
      </c>
      <c r="BN20" s="253"/>
      <c r="BO20" s="226" t="s">
        <v>146</v>
      </c>
      <c r="BQ20" s="226">
        <f>IF($BQ$18=1,1,IF($BQ$19=1,1,0))</f>
        <v>0</v>
      </c>
      <c r="BR20" s="226" t="s">
        <v>717</v>
      </c>
      <c r="BY20" s="255" t="s">
        <v>343</v>
      </c>
      <c r="BZ20" s="256">
        <v>1</v>
      </c>
      <c r="CA20" s="256">
        <v>0</v>
      </c>
      <c r="CB20" s="256">
        <v>0</v>
      </c>
      <c r="CD20" s="229" t="s">
        <v>355</v>
      </c>
      <c r="CE20" s="226">
        <v>0.9</v>
      </c>
      <c r="CF20" s="226">
        <v>0</v>
      </c>
      <c r="CG20" s="226">
        <v>0</v>
      </c>
      <c r="CI20" s="239"/>
      <c r="CJ20" s="226"/>
      <c r="CK20" s="226"/>
      <c r="CL20" s="226"/>
      <c r="CM20" s="226"/>
      <c r="CN20" s="226"/>
      <c r="CO20" s="226"/>
      <c r="CP20" s="226"/>
      <c r="CQ20" s="226"/>
      <c r="CR20" s="226"/>
      <c r="CS20" s="226"/>
      <c r="CT20" s="226"/>
      <c r="CU20" s="226"/>
      <c r="CV20" s="226"/>
      <c r="CW20" s="226"/>
      <c r="CX20" s="226"/>
      <c r="CY20" s="226"/>
      <c r="CZ20" s="226"/>
      <c r="DA20" s="226"/>
      <c r="DB20" s="226"/>
      <c r="DC20" s="226"/>
      <c r="DD20" s="226"/>
      <c r="DE20" s="226"/>
      <c r="DH20" s="226">
        <f>HLS!$A19</f>
        <v>0</v>
      </c>
      <c r="DI20" s="226" t="str">
        <f>LGS!$A19</f>
        <v>Son d'avoine</v>
      </c>
      <c r="DJ20" s="226">
        <f>FCS!$A19</f>
        <v>0</v>
      </c>
      <c r="DK20" s="226" t="str">
        <f>VDS!$A19</f>
        <v>Cheval, faux-filet - CUIT</v>
      </c>
      <c r="DL20" s="251"/>
      <c r="DM20" s="226">
        <f>'OPT1'!$A19</f>
        <v>0</v>
      </c>
      <c r="DN20" s="226">
        <f>'OPT2'!$A19</f>
        <v>0</v>
      </c>
    </row>
    <row r="21" spans="1:118" ht="25.2" customHeight="1">
      <c r="A21" s="33"/>
      <c r="B21" s="52" t="s">
        <v>333</v>
      </c>
      <c r="C21" s="183"/>
      <c r="D21" s="184"/>
      <c r="E21" s="42" t="str">
        <f>IF($C$20&lt;&gt;"",VLOOKUP($C$20,$CI$4:$CL$27,2,0),"")</f>
        <v/>
      </c>
      <c r="F21" s="208"/>
      <c r="G21" s="207"/>
      <c r="H21" s="207"/>
      <c r="I21" s="21" t="str">
        <f>IF($BD$17=0,$AS$25,$AS$24)</f>
        <v/>
      </c>
      <c r="J21" s="26"/>
      <c r="K21" s="27"/>
      <c r="L21" s="87"/>
      <c r="M21" s="38"/>
      <c r="N21" s="147"/>
      <c r="O21" s="38"/>
      <c r="P21" s="38"/>
      <c r="Q21" s="38"/>
      <c r="R21" s="10"/>
      <c r="S21" s="10"/>
      <c r="T21" s="10"/>
      <c r="U21" s="6"/>
      <c r="W21" s="226"/>
      <c r="X21" s="226"/>
      <c r="Z21" s="226"/>
      <c r="AA21" s="226"/>
      <c r="AB21" s="226"/>
      <c r="AD21" s="226"/>
      <c r="AE21" s="226"/>
      <c r="AF21" s="226"/>
      <c r="AG21" s="226"/>
      <c r="AH21" s="226"/>
      <c r="AI21" s="226" t="str">
        <f>CTRL!B14</f>
        <v>actif</v>
      </c>
      <c r="AJ21" s="226" t="e">
        <f>ROUND($AJ$39*1000/$Y$32,2)</f>
        <v>#VALUE!</v>
      </c>
      <c r="AK21" s="226" t="e">
        <f>ROUND($AK$39*1000/$Y$32,2)</f>
        <v>#VALUE!</v>
      </c>
      <c r="AL21" s="226" t="e">
        <f>ROUND($AQ$39*1000/$Y$32,2)</f>
        <v>#VALUE!</v>
      </c>
      <c r="AM21" s="226"/>
      <c r="AN21" s="226"/>
      <c r="AO21" s="226"/>
      <c r="AP21" s="226"/>
      <c r="AQ21" s="226"/>
      <c r="AR21" s="226" t="s">
        <v>682</v>
      </c>
      <c r="AS21" s="229" t="str">
        <f>IF($AA$55=15," "&amp;IF($X$3&gt;0,$W$29&amp;" "&amp;$X$29,"Pas de viandes"),"")</f>
        <v/>
      </c>
      <c r="AT21" s="229"/>
      <c r="AU21" s="226"/>
      <c r="AV21" s="226"/>
      <c r="BN21" s="253"/>
      <c r="BY21" s="255" t="s">
        <v>344</v>
      </c>
      <c r="BZ21" s="256">
        <v>1</v>
      </c>
      <c r="CA21" s="256">
        <v>0</v>
      </c>
      <c r="CB21" s="256">
        <v>0</v>
      </c>
      <c r="CD21" s="229" t="s">
        <v>972</v>
      </c>
      <c r="CE21" s="226">
        <v>1.1000000000000001</v>
      </c>
      <c r="CF21" s="226">
        <v>0</v>
      </c>
      <c r="CG21" s="226">
        <v>0.5</v>
      </c>
      <c r="CH21" s="239"/>
      <c r="CI21" s="239"/>
      <c r="CJ21" s="239"/>
      <c r="CK21" s="239"/>
      <c r="CL21" s="226"/>
      <c r="CM21" s="226"/>
      <c r="CN21" s="226"/>
      <c r="CO21" s="226"/>
      <c r="CP21" s="226"/>
      <c r="CQ21" s="226"/>
      <c r="CR21" s="226"/>
      <c r="CS21" s="226"/>
      <c r="CT21" s="226"/>
      <c r="CU21" s="226"/>
      <c r="CV21" s="226"/>
      <c r="CW21" s="226"/>
      <c r="CX21" s="226"/>
      <c r="CY21" s="226"/>
      <c r="CZ21" s="226"/>
      <c r="DA21" s="226"/>
      <c r="DB21" s="226"/>
      <c r="DC21" s="226"/>
      <c r="DD21" s="226"/>
      <c r="DE21" s="226"/>
      <c r="DH21" s="226">
        <f>HLS!$A20</f>
        <v>0</v>
      </c>
      <c r="DI21" s="226" t="str">
        <f>LGS!$A20</f>
        <v>Son de blé</v>
      </c>
      <c r="DJ21" s="226">
        <f>FCS!$A20</f>
        <v>0</v>
      </c>
      <c r="DK21" s="226" t="str">
        <f>VDS!$A20</f>
        <v>Dinde, escalope - CRUE</v>
      </c>
      <c r="DL21" s="251"/>
      <c r="DM21" s="226">
        <f>'OPT1'!$A20</f>
        <v>0</v>
      </c>
      <c r="DN21" s="226">
        <f>'OPT2'!$A20</f>
        <v>0</v>
      </c>
    </row>
    <row r="22" spans="1:118" ht="25.2" customHeight="1">
      <c r="A22" s="33"/>
      <c r="B22" s="52" t="s">
        <v>335</v>
      </c>
      <c r="C22" s="183"/>
      <c r="D22" s="184"/>
      <c r="E22" s="42" t="str">
        <f>IF($C$22&lt;&gt;"",VLOOKUP($C$22,$CI$40:$CL$42,2,0),"")</f>
        <v/>
      </c>
      <c r="F22" s="208"/>
      <c r="G22" s="207"/>
      <c r="H22" s="207"/>
      <c r="I22" s="21" t="str">
        <f>IF($BD$17=0,$AS$26,$AS$25)</f>
        <v/>
      </c>
      <c r="J22" s="25"/>
      <c r="K22" s="28"/>
      <c r="L22" s="87"/>
      <c r="M22" s="38"/>
      <c r="N22" s="147"/>
      <c r="O22" s="38"/>
      <c r="P22" s="38"/>
      <c r="Q22" s="38"/>
      <c r="R22" s="10"/>
      <c r="S22" s="10"/>
      <c r="T22" s="10"/>
      <c r="U22" s="6"/>
      <c r="W22" s="242" t="s">
        <v>62</v>
      </c>
      <c r="X22" s="242"/>
      <c r="Z22" s="226"/>
      <c r="AA22" s="226"/>
      <c r="AB22" s="226"/>
      <c r="AD22" s="242" t="s">
        <v>83</v>
      </c>
      <c r="AE22" s="231"/>
      <c r="AF22" s="231"/>
      <c r="AG22" s="231"/>
      <c r="AH22" s="231"/>
      <c r="AI22" s="231"/>
      <c r="AJ22" s="231"/>
      <c r="AK22" s="231"/>
      <c r="AL22" s="231"/>
      <c r="AM22" s="226"/>
      <c r="AN22" s="226"/>
      <c r="AO22" s="226"/>
      <c r="AP22" s="226"/>
      <c r="AQ22" s="226"/>
      <c r="AR22" s="226" t="s">
        <v>0</v>
      </c>
      <c r="AS22" s="229" t="str">
        <f>IF($AA$55=15," "&amp;IF($Y$3&gt;0,$W$24&amp;" "&amp;$X$24,"Pas de légumes"),"")</f>
        <v/>
      </c>
      <c r="AT22" s="229"/>
      <c r="AU22" s="226"/>
      <c r="AV22" s="226"/>
      <c r="AW22" s="242" t="s">
        <v>125</v>
      </c>
      <c r="AX22" s="242"/>
      <c r="AY22" s="242"/>
      <c r="AZ22" s="242"/>
      <c r="BA22" s="242"/>
      <c r="BB22" s="242"/>
      <c r="BC22" s="242"/>
      <c r="BD22" s="242"/>
      <c r="BE22" s="242"/>
      <c r="BF22" s="242"/>
      <c r="BG22" s="231" t="s">
        <v>28</v>
      </c>
      <c r="BH22" s="231"/>
      <c r="BI22" s="231" t="s">
        <v>29</v>
      </c>
      <c r="BJ22" s="231"/>
      <c r="BK22" s="266" t="s">
        <v>426</v>
      </c>
      <c r="BL22" s="266"/>
      <c r="BM22" s="243" t="e">
        <f>$Y$32*$BM$20/1000</f>
        <v>#N/A</v>
      </c>
      <c r="BN22" s="243"/>
      <c r="BO22" s="231" t="s">
        <v>126</v>
      </c>
      <c r="BP22" s="238"/>
      <c r="BQ22" s="238"/>
      <c r="BR22" s="226" t="s">
        <v>135</v>
      </c>
      <c r="BS22" s="226" t="s">
        <v>712</v>
      </c>
      <c r="BU22" s="231" t="s">
        <v>846</v>
      </c>
      <c r="BV22" s="262"/>
      <c r="BY22" s="255" t="s">
        <v>548</v>
      </c>
      <c r="BZ22" s="256">
        <v>1</v>
      </c>
      <c r="CA22" s="256">
        <v>0.5</v>
      </c>
      <c r="CB22" s="256">
        <v>0</v>
      </c>
      <c r="CD22" s="229" t="s">
        <v>356</v>
      </c>
      <c r="CE22" s="226">
        <v>0.8</v>
      </c>
      <c r="CF22" s="226">
        <v>1</v>
      </c>
      <c r="CG22" s="226">
        <v>0</v>
      </c>
      <c r="CI22" s="239"/>
      <c r="CJ22" s="226"/>
      <c r="CK22" s="226"/>
      <c r="CL22" s="226"/>
      <c r="CM22" s="226"/>
      <c r="CN22" s="226"/>
      <c r="CO22" s="226"/>
      <c r="CP22" s="226"/>
      <c r="CQ22" s="226"/>
      <c r="CR22" s="226"/>
      <c r="CS22" s="226"/>
      <c r="CT22" s="226"/>
      <c r="CU22" s="226"/>
      <c r="CV22" s="226"/>
      <c r="CW22" s="226"/>
      <c r="CX22" s="226"/>
      <c r="CY22" s="226"/>
      <c r="CZ22" s="226"/>
      <c r="DA22" s="226"/>
      <c r="DB22" s="226"/>
      <c r="DC22" s="226"/>
      <c r="DD22" s="226"/>
      <c r="DE22" s="226"/>
      <c r="DH22" s="226">
        <f>HLS!$A21</f>
        <v>0</v>
      </c>
      <c r="DI22" s="226">
        <f>LGS!$A21</f>
        <v>0</v>
      </c>
      <c r="DJ22" s="226">
        <f>FCS!$A21</f>
        <v>0</v>
      </c>
      <c r="DK22" s="226" t="str">
        <f>VDS!$A21</f>
        <v>Dinde, escalope - CUITE</v>
      </c>
      <c r="DL22" s="251"/>
      <c r="DM22" s="226">
        <f>'OPT1'!$A21</f>
        <v>0</v>
      </c>
      <c r="DN22" s="226">
        <f>'OPT2'!$A21</f>
        <v>0</v>
      </c>
    </row>
    <row r="23" spans="1:118" ht="25.2" customHeight="1">
      <c r="A23" s="33"/>
      <c r="B23" s="52" t="s">
        <v>336</v>
      </c>
      <c r="C23" s="183"/>
      <c r="D23" s="184"/>
      <c r="E23" s="42" t="str">
        <f>IF($AJ$11=1,1,IF($C$23&lt;&gt;"",VLOOKUP($C$23,$CD$40:$CG$44,2,0),""))</f>
        <v/>
      </c>
      <c r="F23" s="209"/>
      <c r="G23" s="210"/>
      <c r="H23" s="210"/>
      <c r="I23" s="22" t="str">
        <f>IF($BD$17=0,$AS$27,$AS$26)</f>
        <v/>
      </c>
      <c r="J23" s="23"/>
      <c r="K23" s="24"/>
      <c r="L23" s="88"/>
      <c r="M23" s="38"/>
      <c r="N23" s="147"/>
      <c r="O23" s="38"/>
      <c r="P23" s="38"/>
      <c r="Q23" s="38"/>
      <c r="R23" s="10"/>
      <c r="S23" s="10"/>
      <c r="T23" s="10"/>
      <c r="U23" s="6"/>
      <c r="V23" s="226"/>
      <c r="W23" s="226" t="e">
        <f>$AZ$16</f>
        <v>#VALUE!</v>
      </c>
      <c r="X23" s="267" t="e">
        <f>IF($W23&gt;1,"grammes ","gramme ")&amp;VLOOKUP($I$11,VDS!$A$2:$AC$107,18,0)</f>
        <v>#VALUE!</v>
      </c>
      <c r="Z23" s="231" t="e">
        <f>($M$11*$AZ$18/100)+($W$24*$M$12/100)+($W$25*$M$13/100)+($M$14*$W$26/100)+$Y$33</f>
        <v>#VALUE!</v>
      </c>
      <c r="AA23" s="231"/>
      <c r="AB23" s="226"/>
      <c r="AD23" s="226" t="s">
        <v>2</v>
      </c>
      <c r="AE23" s="226" t="s">
        <v>85</v>
      </c>
      <c r="AF23" s="226" t="s">
        <v>87</v>
      </c>
      <c r="AG23" s="226" t="s">
        <v>86</v>
      </c>
      <c r="AH23" s="226" t="s">
        <v>123</v>
      </c>
      <c r="AI23" s="226" t="s">
        <v>10</v>
      </c>
      <c r="AJ23" s="226" t="s">
        <v>118</v>
      </c>
      <c r="AK23" s="226" t="s">
        <v>119</v>
      </c>
      <c r="AL23" s="226" t="s">
        <v>141</v>
      </c>
      <c r="AM23" s="226"/>
      <c r="AN23" s="226"/>
      <c r="AO23" s="226"/>
      <c r="AP23" s="226"/>
      <c r="AQ23" s="226"/>
      <c r="AR23" s="226" t="s">
        <v>244</v>
      </c>
      <c r="AS23" s="229" t="str">
        <f>IF($AA$55=15," "&amp;IF($Z$3&gt;0,IF($W$25&gt;0,$W$25&amp;" "&amp;$X$25,"Pas de féculents"),"Pas de féculents"),"")</f>
        <v/>
      </c>
      <c r="AT23" s="229"/>
      <c r="AU23" s="226"/>
      <c r="AV23" s="226"/>
      <c r="AW23" s="226" t="str">
        <f>IF($I$8&lt;&gt;"",VLOOKUP($I$8,CMV!$A$2:$AA$100,1,0),"")</f>
        <v/>
      </c>
      <c r="AX23" s="226" t="str">
        <f>IF($I$8&lt;&gt;"",VLOOKUP($I$8,CMV!$A$2:$AA$100,2,0),"")</f>
        <v/>
      </c>
      <c r="AY23" s="226">
        <f>IF($I$8&lt;&gt;"",VLOOKUP($I$8,CMV!$A$2:$AA$100,3,0),0)</f>
        <v>0</v>
      </c>
      <c r="AZ23" s="226">
        <f>IF($I$8&lt;&gt;"",VLOOKUP($I$8,CMV!$A$2:$AA$100,4,0),0)</f>
        <v>0</v>
      </c>
      <c r="BA23" s="226">
        <f>IF($I$8&lt;&gt;"",VLOOKUP($I$8,CMV!$A$2:$AA$100,5,0),0)</f>
        <v>0</v>
      </c>
      <c r="BB23" s="226">
        <f>IF($I$8&lt;&gt;"",VLOOKUP($I$8,CMV!$A$2:$AA$100,6,0),0)</f>
        <v>0</v>
      </c>
      <c r="BC23" s="226">
        <f>IF($I$8&lt;&gt;"",VLOOKUP($I$8,CMV!$A$2:$AA$100,7,0),0)</f>
        <v>0</v>
      </c>
      <c r="BD23" s="226">
        <f>IF($I$8&lt;&gt;"",VLOOKUP($I$8,CMV!$A$2:$AA$100,8,0),0)</f>
        <v>0</v>
      </c>
      <c r="BE23" s="226">
        <f>IF($I$8&lt;&gt;"",VLOOKUP($I$8,CMV!$A$2:$AA$100,9,0),0)</f>
        <v>0</v>
      </c>
      <c r="BF23" s="226" t="e">
        <f>IF($BI$20=0,$BG$23,$BH$23)</f>
        <v>#VALUE!</v>
      </c>
      <c r="BG23" s="226">
        <f>IF($I$8&lt;&gt;"",VLOOKUP($I$8,CMV!$A$2:$AA$100,10,0),0)</f>
        <v>0</v>
      </c>
      <c r="BH23" s="226">
        <f>IF($I$8&lt;&gt;"",VLOOKUP($I$8,CMV!$A$2:$AA$100,11,0),0)</f>
        <v>0</v>
      </c>
      <c r="BI23" s="226" t="e">
        <f>ROUNDUP(($AM$39-$AL$39)/(($BD23/100*$BF23/1000)-($BE23/100*$BF23/1000)),0)</f>
        <v>#VALUE!</v>
      </c>
      <c r="BJ23" s="226" t="e">
        <f>ABS(BI23)</f>
        <v>#VALUE!</v>
      </c>
      <c r="BK23" s="226" t="e">
        <f>(BJ23*BF23/100)*BD23/1000</f>
        <v>#VALUE!</v>
      </c>
      <c r="BL23" s="268" t="e">
        <f>BK23+$AL$39</f>
        <v>#VALUE!</v>
      </c>
      <c r="BM23" s="268" t="e">
        <f>IF($BM$22-BL23&gt;0,$BM$22-BL23,0)</f>
        <v>#N/A</v>
      </c>
      <c r="BN23" s="226" t="e">
        <f>IF($BL$27=0,1,$BR$30)*$BQ$20</f>
        <v>#VALUE!</v>
      </c>
      <c r="BO23" s="226" t="str">
        <f>IF($I$8&lt;&gt;"",IF((BQ23/BS23)&gt;1,VLOOKUP($I$8,CMV!$A$2:$AA$100,16,0),VLOOKUP($I$8,CMV!$A$2:$AA$100,15,0)),"")</f>
        <v/>
      </c>
      <c r="BP23" s="226" t="e">
        <f>IF($BV$27=1,$BV$23,IF($BV$27=2,$BV$24,IF($BV$27=3,$BV$25,$BV$26)))</f>
        <v>#VALUE!</v>
      </c>
      <c r="BQ23" s="226" t="e">
        <f>BF23*BN23</f>
        <v>#VALUE!</v>
      </c>
      <c r="BR23" s="226">
        <f>IF($I$8&lt;&gt;"",VLOOKUP($I$8,CMV!$A$2:$AA$100,13,0),0)</f>
        <v>0</v>
      </c>
      <c r="BS23" s="226">
        <f>IF($I$8&lt;&gt;"",VLOOKUP($I$8,CMV!$A$2:$AA$100,12,0),0)</f>
        <v>0</v>
      </c>
      <c r="BU23" s="269">
        <v>1</v>
      </c>
      <c r="BV23" s="226" t="e">
        <f>(BQ23/BS23)&amp;" "&amp;BO23</f>
        <v>#VALUE!</v>
      </c>
      <c r="BY23" s="255" t="s">
        <v>345</v>
      </c>
      <c r="BZ23" s="256">
        <v>1</v>
      </c>
      <c r="CA23" s="256">
        <v>0</v>
      </c>
      <c r="CB23" s="256">
        <v>0</v>
      </c>
      <c r="CD23" s="229" t="s">
        <v>357</v>
      </c>
      <c r="CE23" s="226">
        <v>1.2</v>
      </c>
      <c r="CF23" s="226">
        <v>0</v>
      </c>
      <c r="CG23" s="226">
        <v>1</v>
      </c>
      <c r="CI23" s="239"/>
      <c r="CJ23" s="226"/>
      <c r="CK23" s="226"/>
      <c r="CL23" s="226"/>
      <c r="CM23" s="226"/>
      <c r="CN23" s="226"/>
      <c r="CO23" s="226"/>
      <c r="CP23" s="226"/>
      <c r="CQ23" s="226"/>
      <c r="CR23" s="226"/>
      <c r="CS23" s="226"/>
      <c r="CT23" s="226"/>
      <c r="CU23" s="226"/>
      <c r="CV23" s="226"/>
      <c r="CW23" s="226"/>
      <c r="CX23" s="226"/>
      <c r="CY23" s="226"/>
      <c r="CZ23" s="226"/>
      <c r="DA23" s="226"/>
      <c r="DB23" s="226"/>
      <c r="DC23" s="226"/>
      <c r="DD23" s="226"/>
      <c r="DE23" s="226"/>
      <c r="DH23" s="226">
        <f>HLS!$A22</f>
        <v>0</v>
      </c>
      <c r="DI23" s="226">
        <f>LGS!$A22</f>
        <v>0</v>
      </c>
      <c r="DJ23" s="226">
        <f>FCS!$A22</f>
        <v>0</v>
      </c>
      <c r="DK23" s="226" t="str">
        <f>VDS!$A22</f>
        <v>Dinde, viande de cuisse - CRUE</v>
      </c>
      <c r="DL23" s="251"/>
      <c r="DM23" s="226">
        <f>'OPT1'!$A22</f>
        <v>0</v>
      </c>
      <c r="DN23" s="226">
        <f>'OPT2'!$A22</f>
        <v>0</v>
      </c>
    </row>
    <row r="24" spans="1:118" ht="25.2" customHeight="1">
      <c r="A24" s="33"/>
      <c r="B24" s="52" t="s">
        <v>337</v>
      </c>
      <c r="C24" s="183"/>
      <c r="D24" s="184"/>
      <c r="E24" s="42" t="str">
        <f>IF($C$24&lt;&gt;"",VLOOKUP($C$24,$CD$28:$CG$32,2,0),"")</f>
        <v/>
      </c>
      <c r="F24" s="89"/>
      <c r="G24" s="80" t="str">
        <f>IF($AA$55=15,IF($AQ$54&gt;0,$AM$4,IF($AS$54&gt;0,$AM$3,"")),$AM$15&amp;$AM$14&amp;$AM$17&amp;$AM$18)</f>
        <v/>
      </c>
      <c r="H24" s="81"/>
      <c r="I24" s="81"/>
      <c r="J24" s="81"/>
      <c r="K24" s="81"/>
      <c r="L24" s="90"/>
      <c r="M24" s="38"/>
      <c r="N24" s="147"/>
      <c r="O24" s="38"/>
      <c r="P24" s="38"/>
      <c r="Q24" s="38"/>
      <c r="R24" s="10"/>
      <c r="S24" s="10"/>
      <c r="T24" s="10"/>
      <c r="U24" s="6"/>
      <c r="W24" s="226" t="e">
        <f>IF($I$7=$AD$28,VLOOKUP($I$7,$AD$24:$AI$28,3,0),VLOOKUP($I$7,$AD$24:$AI$28,3,0))</f>
        <v>#N/A</v>
      </c>
      <c r="X24" s="267" t="e">
        <f>IF($W24&gt;1,"grammes ","gramme ")&amp;VLOOKUP($I$12,LGS!$A$2:$AC$100,18,0)</f>
        <v>#N/A</v>
      </c>
      <c r="Z24" s="242" t="s">
        <v>79</v>
      </c>
      <c r="AA24" s="242"/>
      <c r="AB24" s="226"/>
      <c r="AD24" s="226" t="s">
        <v>378</v>
      </c>
      <c r="AE24" s="226">
        <v>0</v>
      </c>
      <c r="AF24" s="226">
        <v>0</v>
      </c>
      <c r="AG24" s="226">
        <v>0</v>
      </c>
      <c r="AH24" s="226">
        <v>0</v>
      </c>
      <c r="AI24" s="231" t="e">
        <f>IF(CTRL!C14&gt;0,$BQ$23,0)</f>
        <v>#VALUE!</v>
      </c>
      <c r="AJ24" s="231" t="e">
        <f>ROUND($AJ$39*1000/$Z$23,2)</f>
        <v>#VALUE!</v>
      </c>
      <c r="AK24" s="231" t="e">
        <f>ROUND($AK$39*1000/$Z$23,2)</f>
        <v>#VALUE!</v>
      </c>
      <c r="AL24" s="234">
        <f>$BQ$14</f>
        <v>0</v>
      </c>
      <c r="AM24" s="270"/>
      <c r="AN24" s="226"/>
      <c r="AO24" s="226"/>
      <c r="AP24" s="226"/>
      <c r="AQ24" s="226"/>
      <c r="AR24" s="226" t="s">
        <v>123</v>
      </c>
      <c r="AS24" s="229" t="str">
        <f>IF($AA$55=15," "&amp;IF($W$26&gt;0,$BF$6,"Pas d'ajout d'huile dans ce menu"),"")</f>
        <v/>
      </c>
      <c r="AT24" s="229"/>
      <c r="AU24" s="226"/>
      <c r="AV24" s="226"/>
      <c r="AW24" s="226" t="s">
        <v>10</v>
      </c>
      <c r="AX24" s="226" t="s">
        <v>23</v>
      </c>
      <c r="AY24" s="226" t="s">
        <v>15</v>
      </c>
      <c r="AZ24" s="226" t="s">
        <v>16</v>
      </c>
      <c r="BA24" s="226" t="s">
        <v>17</v>
      </c>
      <c r="BB24" s="226" t="s">
        <v>18</v>
      </c>
      <c r="BC24" s="226" t="s">
        <v>19</v>
      </c>
      <c r="BD24" s="226" t="s">
        <v>20</v>
      </c>
      <c r="BE24" s="226" t="s">
        <v>22</v>
      </c>
      <c r="BF24" s="226" t="s">
        <v>853</v>
      </c>
      <c r="BG24" s="271" t="str">
        <f>"1/2"</f>
        <v>1/2</v>
      </c>
      <c r="BH24" s="271" t="str">
        <f>"1/4"</f>
        <v>1/4</v>
      </c>
      <c r="BI24" s="226" t="s">
        <v>26</v>
      </c>
      <c r="BJ24" s="226" t="s">
        <v>102</v>
      </c>
      <c r="BK24" s="226" t="s">
        <v>32</v>
      </c>
      <c r="BL24" s="226" t="s">
        <v>31</v>
      </c>
      <c r="BM24" s="226" t="s">
        <v>30</v>
      </c>
      <c r="BN24" s="226" t="s">
        <v>713</v>
      </c>
      <c r="BO24" s="226" t="s">
        <v>127</v>
      </c>
      <c r="BP24" s="226" t="s">
        <v>128</v>
      </c>
      <c r="BQ24" s="226" t="s">
        <v>129</v>
      </c>
      <c r="BR24" s="226" t="s">
        <v>135</v>
      </c>
      <c r="BS24" s="226" t="s">
        <v>129</v>
      </c>
      <c r="BU24" s="269">
        <v>2</v>
      </c>
      <c r="BV24" s="226" t="e">
        <f>(BQ23/BS23)&amp;" "&amp;BO23&amp; " ("&amp;BQ23&amp;IF(BQ23&gt;1," grammes)"," gramme)")</f>
        <v>#VALUE!</v>
      </c>
      <c r="BY24" s="255" t="s">
        <v>346</v>
      </c>
      <c r="BZ24" s="256">
        <v>1</v>
      </c>
      <c r="CA24" s="256">
        <v>0</v>
      </c>
      <c r="CB24" s="256">
        <v>0</v>
      </c>
      <c r="CD24" s="229" t="s">
        <v>358</v>
      </c>
      <c r="CE24" s="226">
        <v>1.1000000000000001</v>
      </c>
      <c r="CF24" s="226">
        <v>0</v>
      </c>
      <c r="CG24" s="226">
        <v>0.5</v>
      </c>
      <c r="CI24" s="239"/>
      <c r="CJ24" s="226"/>
      <c r="CK24" s="226"/>
      <c r="CL24" s="226"/>
      <c r="CM24" s="226"/>
      <c r="CN24" s="226"/>
      <c r="CO24" s="226"/>
      <c r="CP24" s="226"/>
      <c r="CQ24" s="226"/>
      <c r="CR24" s="226"/>
      <c r="CS24" s="226"/>
      <c r="CT24" s="226"/>
      <c r="CU24" s="226"/>
      <c r="CV24" s="226"/>
      <c r="CW24" s="226"/>
      <c r="CX24" s="226"/>
      <c r="CY24" s="226"/>
      <c r="CZ24" s="226"/>
      <c r="DA24" s="226"/>
      <c r="DB24" s="226"/>
      <c r="DC24" s="226"/>
      <c r="DD24" s="226"/>
      <c r="DE24" s="226"/>
      <c r="DH24" s="226">
        <f>HLS!$A23</f>
        <v>0</v>
      </c>
      <c r="DI24" s="226">
        <f>LGS!$A23</f>
        <v>0</v>
      </c>
      <c r="DJ24" s="226">
        <f>FCS!$A23</f>
        <v>0</v>
      </c>
      <c r="DK24" s="226" t="str">
        <f>VDS!$A23</f>
        <v>Dinde, viande de cuisse - CUITE</v>
      </c>
      <c r="DL24" s="251"/>
      <c r="DM24" s="226">
        <f>'OPT1'!$A23</f>
        <v>0</v>
      </c>
      <c r="DN24" s="226">
        <f>'OPT2'!$A23</f>
        <v>0</v>
      </c>
    </row>
    <row r="25" spans="1:118" ht="25.2" customHeight="1">
      <c r="A25" s="33"/>
      <c r="B25" s="50" t="s">
        <v>374</v>
      </c>
      <c r="C25" s="183"/>
      <c r="D25" s="184"/>
      <c r="E25" s="42" t="str">
        <f>IF($C$25&lt;&gt;"",VLOOKUP($C$25,$CD$19:$CG$25,2,0),"")</f>
        <v/>
      </c>
      <c r="F25" s="91" t="s">
        <v>4</v>
      </c>
      <c r="G25" s="16" t="s">
        <v>5</v>
      </c>
      <c r="H25" s="16" t="s">
        <v>6</v>
      </c>
      <c r="I25" s="16" t="s">
        <v>7</v>
      </c>
      <c r="J25" s="16" t="s">
        <v>33</v>
      </c>
      <c r="K25" s="16" t="s">
        <v>8</v>
      </c>
      <c r="L25" s="92" t="s">
        <v>9</v>
      </c>
      <c r="M25" s="37"/>
      <c r="N25" s="147"/>
      <c r="O25" s="37"/>
      <c r="P25" s="37"/>
      <c r="Q25" s="37"/>
      <c r="R25" s="10"/>
      <c r="S25" s="10"/>
      <c r="T25" s="10"/>
      <c r="U25" s="3"/>
      <c r="V25" s="253" t="s">
        <v>768</v>
      </c>
      <c r="W25" s="253" t="e">
        <f>$BK$68</f>
        <v>#VALUE!</v>
      </c>
      <c r="X25" s="267" t="e">
        <f>IF($W25&gt;1,"grammes ","gramme ")&amp;VLOOKUP($I$13,FCS!$A$2:$AC$100,18,0)</f>
        <v>#VALUE!</v>
      </c>
      <c r="Z25" s="226"/>
      <c r="AA25" s="226"/>
      <c r="AB25" s="226"/>
      <c r="AD25" s="226" t="s">
        <v>169</v>
      </c>
      <c r="AE25" s="226">
        <v>0</v>
      </c>
      <c r="AF25" s="226">
        <v>0</v>
      </c>
      <c r="AG25" s="226">
        <v>0</v>
      </c>
      <c r="AH25" s="226">
        <v>0</v>
      </c>
      <c r="AI25" s="231"/>
      <c r="AJ25" s="231"/>
      <c r="AK25" s="231"/>
      <c r="AL25" s="234">
        <f>$BR$14</f>
        <v>0</v>
      </c>
      <c r="AM25" s="272"/>
      <c r="AN25" s="272"/>
      <c r="AO25" s="272"/>
      <c r="AP25" s="272"/>
      <c r="AQ25" s="272"/>
      <c r="AR25" s="226" t="s">
        <v>10</v>
      </c>
      <c r="AS25" s="229" t="str">
        <f>IF($AA$55=15," "&amp;IF($W$27&gt;0,$BP$23&amp;" de "&amp;$X$27,"Pas d'ajout de CMV dans ce menu"),"")</f>
        <v/>
      </c>
      <c r="AT25" s="229"/>
      <c r="AU25" s="226"/>
      <c r="AV25" s="226"/>
      <c r="BT25" s="239"/>
      <c r="BU25" s="226">
        <v>3</v>
      </c>
      <c r="BV25" s="226" t="e">
        <f>$BO$23&amp;" "&amp;BQ23&amp;IF(BQ23&gt;1," grammes"," gramme")</f>
        <v>#VALUE!</v>
      </c>
      <c r="BY25" s="255" t="s">
        <v>549</v>
      </c>
      <c r="BZ25" s="256">
        <v>1</v>
      </c>
      <c r="CA25" s="256">
        <v>0</v>
      </c>
      <c r="CB25" s="256">
        <v>0</v>
      </c>
      <c r="CD25" s="229" t="s">
        <v>359</v>
      </c>
      <c r="CE25" s="226">
        <v>1.2</v>
      </c>
      <c r="CF25" s="226">
        <v>0</v>
      </c>
      <c r="CG25" s="226">
        <v>1</v>
      </c>
      <c r="CI25" s="239"/>
      <c r="CJ25" s="226"/>
      <c r="CK25" s="226"/>
      <c r="CL25" s="226"/>
      <c r="CM25" s="226"/>
      <c r="CN25" s="226"/>
      <c r="CO25" s="226"/>
      <c r="CP25" s="226"/>
      <c r="CQ25" s="226"/>
      <c r="CR25" s="226"/>
      <c r="CS25" s="226"/>
      <c r="CT25" s="226"/>
      <c r="CU25" s="226"/>
      <c r="CV25" s="226"/>
      <c r="CW25" s="226"/>
      <c r="CX25" s="226"/>
      <c r="CY25" s="226"/>
      <c r="CZ25" s="226"/>
      <c r="DA25" s="226"/>
      <c r="DB25" s="226"/>
      <c r="DC25" s="226"/>
      <c r="DD25" s="226"/>
      <c r="DE25" s="226"/>
      <c r="DH25" s="226">
        <f>HLS!$A24</f>
        <v>0</v>
      </c>
      <c r="DI25" s="226">
        <f>LGS!$A24</f>
        <v>0</v>
      </c>
      <c r="DJ25" s="226">
        <f>FCS!$A24</f>
        <v>0</v>
      </c>
      <c r="DK25" s="226" t="str">
        <f>VDS!$A24</f>
        <v>Lapin, viande - CRUE</v>
      </c>
      <c r="DL25" s="251"/>
      <c r="DM25" s="226">
        <f>'OPT1'!$A24</f>
        <v>0</v>
      </c>
      <c r="DN25" s="226">
        <f>'OPT2'!$A24</f>
        <v>0</v>
      </c>
    </row>
    <row r="26" spans="1:118" ht="25.2" customHeight="1">
      <c r="A26" s="33"/>
      <c r="B26" s="53"/>
      <c r="C26" s="46"/>
      <c r="D26" s="54"/>
      <c r="E26" s="43"/>
      <c r="F26" s="93" t="str">
        <f>IF($AA$55=15,ROUND($AE$39,2)&amp;" grammes","")</f>
        <v/>
      </c>
      <c r="G26" s="15" t="str">
        <f>IF($AA$55=15,ROUND($AF$39,2)&amp;" grammes","")</f>
        <v/>
      </c>
      <c r="H26" s="15" t="str">
        <f>IF($AA$55=15,ROUND($AG$39,2)&amp;" grammes","")</f>
        <v/>
      </c>
      <c r="I26" s="15" t="str">
        <f>IF($AA$55=15,ROUND($AH$39,2)&amp;" grammes","")</f>
        <v/>
      </c>
      <c r="J26" s="15" t="str">
        <f>IF($AA$55=15,ROUND($AI$39,2)&amp;" grammes","")</f>
        <v/>
      </c>
      <c r="K26" s="15" t="str">
        <f>IF($AA$55=15,ROUND($AJ$39,2)&amp;" grammes","")</f>
        <v/>
      </c>
      <c r="L26" s="94" t="str">
        <f>IF($AA$55=15,ROUND($AK$39,2)&amp;" grammes","")</f>
        <v/>
      </c>
      <c r="M26" s="37"/>
      <c r="N26" s="37"/>
      <c r="O26" s="37"/>
      <c r="P26" s="37"/>
      <c r="Q26" s="37"/>
      <c r="R26" s="10"/>
      <c r="S26" s="10"/>
      <c r="T26" s="10"/>
      <c r="U26" s="3"/>
      <c r="W26" s="226" t="e">
        <f>VLOOKUP($I$7,$AD$24:$AI$28,5,0)</f>
        <v>#N/A</v>
      </c>
      <c r="X26" s="267" t="e">
        <f>IF($BC$4=0,IF(($W26/4)&gt;1,"cuillères à café ","cuillère à café "),"")&amp;VLOOKUP($I$14,HLS!$A$2:$AC$100,18,0)</f>
        <v>#N/A</v>
      </c>
      <c r="Z26" s="242" t="s">
        <v>82</v>
      </c>
      <c r="AA26" s="242"/>
      <c r="AB26" s="226"/>
      <c r="AD26" s="226" t="s">
        <v>940</v>
      </c>
      <c r="AE26" s="226" t="e">
        <f>IF($I$7=$AD$28,"n/a",$AE$97)</f>
        <v>#VALUE!</v>
      </c>
      <c r="AF26" s="226" t="e">
        <f>IF($I$7=$AD$28,"n/a",$AN$87)</f>
        <v>#VALUE!</v>
      </c>
      <c r="AG26" s="226" t="e">
        <f>IF($I$7=$AD$28,"n/a",$AQ$87+$AE$75)</f>
        <v>#N/A</v>
      </c>
      <c r="AH26" s="226">
        <f>IF($I$7=$AD$28,"n/a",IF($BC$4=0,IF($M$14&gt;0,$AE$89,0),$BC$6))</f>
        <v>0</v>
      </c>
      <c r="AI26" s="231"/>
      <c r="AJ26" s="231"/>
      <c r="AK26" s="231"/>
      <c r="AL26" s="234">
        <f>$BS$14</f>
        <v>0</v>
      </c>
      <c r="AM26" s="272"/>
      <c r="AN26" s="226" t="s">
        <v>393</v>
      </c>
      <c r="AO26" s="226">
        <f>IF($AA$16&gt;0,IF($Z$63=0,IF($Z$16&lt;0,1,0),0),0)</f>
        <v>0</v>
      </c>
      <c r="AP26" s="272"/>
      <c r="AQ26" s="272"/>
      <c r="AR26" s="226" t="s">
        <v>694</v>
      </c>
      <c r="AS26" s="229" t="str">
        <f>IF($AA$55=15," "&amp;LOWER($Y$73),"")</f>
        <v/>
      </c>
      <c r="AT26" s="229"/>
      <c r="AU26" s="226"/>
      <c r="AV26" s="226"/>
      <c r="AZ26" s="231" t="s">
        <v>10</v>
      </c>
      <c r="BA26" s="231"/>
      <c r="BB26" s="231"/>
      <c r="BC26" s="231"/>
      <c r="BD26" s="231" t="s">
        <v>512</v>
      </c>
      <c r="BE26" s="231"/>
      <c r="BF26" s="231" t="s">
        <v>514</v>
      </c>
      <c r="BG26" s="231"/>
      <c r="BH26" s="226" t="s">
        <v>513</v>
      </c>
      <c r="BI26" s="226" t="s">
        <v>516</v>
      </c>
      <c r="BJ26" s="226" t="s">
        <v>517</v>
      </c>
      <c r="BK26" s="226" t="s">
        <v>518</v>
      </c>
      <c r="BL26" s="226" t="s">
        <v>519</v>
      </c>
      <c r="BM26" s="273" t="str">
        <f>"---------------------------------------------------------------------------&gt;"</f>
        <v>---------------------------------------------------------------------------&gt;</v>
      </c>
      <c r="BN26" s="231"/>
      <c r="BO26" s="231"/>
      <c r="BP26" s="226" t="s">
        <v>988</v>
      </c>
      <c r="BQ26" s="226" t="s">
        <v>989</v>
      </c>
      <c r="BR26" s="226" t="s">
        <v>990</v>
      </c>
      <c r="BS26" s="226"/>
      <c r="BT26" s="239"/>
      <c r="BU26" s="226">
        <v>4</v>
      </c>
      <c r="BV26" s="226" t="e">
        <f>(BQ23/BS23)&amp;" "&amp;BO23&amp; " ("&amp;BQ23&amp;IF(BQ23&gt;1," grammes / "," gramme / ")&amp;BQ23*10/8&amp; " ml)"</f>
        <v>#VALUE!</v>
      </c>
      <c r="BY26" s="255" t="s">
        <v>347</v>
      </c>
      <c r="BZ26" s="256">
        <v>1</v>
      </c>
      <c r="CA26" s="256">
        <v>0</v>
      </c>
      <c r="CB26" s="256">
        <v>0</v>
      </c>
      <c r="CI26" s="239"/>
      <c r="CJ26" s="226"/>
      <c r="CK26" s="226"/>
      <c r="CL26" s="226"/>
      <c r="CM26" s="226"/>
      <c r="CN26" s="226"/>
      <c r="CO26" s="226"/>
      <c r="CP26" s="226"/>
      <c r="CQ26" s="226"/>
      <c r="CR26" s="226"/>
      <c r="CS26" s="226"/>
      <c r="CT26" s="226"/>
      <c r="CU26" s="226"/>
      <c r="CV26" s="226"/>
      <c r="CW26" s="226"/>
      <c r="CX26" s="226"/>
      <c r="CY26" s="226"/>
      <c r="CZ26" s="226"/>
      <c r="DA26" s="226"/>
      <c r="DB26" s="226"/>
      <c r="DC26" s="226"/>
      <c r="DD26" s="226"/>
      <c r="DE26" s="226"/>
      <c r="DH26" s="226">
        <f>HLS!$A25</f>
        <v>0</v>
      </c>
      <c r="DI26" s="226">
        <f>LGS!$A25</f>
        <v>0</v>
      </c>
      <c r="DJ26" s="226">
        <f>FCS!$A25</f>
        <v>0</v>
      </c>
      <c r="DK26" s="226" t="str">
        <f>VDS!$A25</f>
        <v>Lapin, viande - CUITE</v>
      </c>
      <c r="DL26" s="251"/>
      <c r="DM26" s="226">
        <f>'OPT1'!$A25</f>
        <v>0</v>
      </c>
      <c r="DN26" s="226">
        <f>'OPT2'!$A25</f>
        <v>0</v>
      </c>
    </row>
    <row r="27" spans="1:118" ht="25.2" customHeight="1">
      <c r="A27" s="33"/>
      <c r="B27" s="55"/>
      <c r="C27" s="47" t="str">
        <f>IF($AA$54=8,"Le Besoin Energétique de votre chat","")</f>
        <v/>
      </c>
      <c r="D27" s="56"/>
      <c r="E27" s="37"/>
      <c r="F27" s="93" t="str">
        <f>IF($AA$55=15,ROUND((100*$AE$39)/SUM($AE$39:$AI$39),2)&amp; "% (MS)","")</f>
        <v/>
      </c>
      <c r="G27" s="15" t="str">
        <f>IF($AA$55=15,ROUND((100*$AF$39)/SUM($AE$39:$AI$39),2)&amp; "% (MS)","")</f>
        <v/>
      </c>
      <c r="H27" s="15" t="str">
        <f>IF($AA$55=15,ROUND((100*$AG$39)/SUM($AE$39:$AI$39),2)&amp; "% (MS)","")</f>
        <v/>
      </c>
      <c r="I27" s="15" t="str">
        <f>IF($AA$55=15,ROUND((100*$AH$39)/SUM($AE$39:$AI$39),2)&amp; "% (MS)","")</f>
        <v/>
      </c>
      <c r="J27" s="15" t="str">
        <f>IF($AA$55=15,ROUND((100*$AI$39)/SUM($AE$39:$AI$39),2)&amp; "% (MS)","")</f>
        <v/>
      </c>
      <c r="K27" s="15" t="str">
        <f>IF($AA$55=15,ROUND((100*$AJ$39)/SUM($AE$39:$AI$39),2)&amp; "% (MS)","")</f>
        <v/>
      </c>
      <c r="L27" s="94" t="str">
        <f>IF($AA$55=15,ROUND((100*$AK$39)/SUM($AE$39:$AI$39),2)&amp; "% (MS)","")</f>
        <v/>
      </c>
      <c r="M27" s="36"/>
      <c r="N27" s="36"/>
      <c r="O27" s="36"/>
      <c r="P27" s="36"/>
      <c r="Q27" s="36"/>
      <c r="R27" s="10"/>
      <c r="S27" s="10"/>
      <c r="T27" s="10"/>
      <c r="W27" s="226" t="e">
        <f>$AI$24</f>
        <v>#VALUE!</v>
      </c>
      <c r="X27" s="229">
        <f>$I$8</f>
        <v>0</v>
      </c>
      <c r="Z27" s="226" t="s">
        <v>80</v>
      </c>
      <c r="AA27" s="226" t="s">
        <v>81</v>
      </c>
      <c r="AB27" s="226"/>
      <c r="AD27" s="226" t="s">
        <v>941</v>
      </c>
      <c r="AE27" s="226" t="e">
        <f>IF($I$7=$AD$28,"n/a",$AP$122-$AE$58)</f>
        <v>#VALUE!</v>
      </c>
      <c r="AF27" s="226" t="e">
        <f>IF($I$7=$AD$28,"n/a",$AN$122)</f>
        <v>#VALUE!</v>
      </c>
      <c r="AG27" s="226">
        <f>IF($I$7=$AD$28,"n/a",0)</f>
        <v>0</v>
      </c>
      <c r="AH27" s="226">
        <f>IF($I$7=$AD$28,"n/a",IF($BC$4=0,IF($M$14&gt;0,$AE$56,0),$BC$6))</f>
        <v>0</v>
      </c>
      <c r="AI27" s="231"/>
      <c r="AJ27" s="231"/>
      <c r="AK27" s="231"/>
      <c r="AL27" s="234">
        <f>$BT$14</f>
        <v>0</v>
      </c>
      <c r="AM27" s="272"/>
      <c r="AN27" s="272"/>
      <c r="AO27" s="272"/>
      <c r="AP27" s="272"/>
      <c r="AQ27" s="272"/>
      <c r="AR27" s="226" t="s">
        <v>695</v>
      </c>
      <c r="AS27" s="229" t="str">
        <f>IF($AA$55=15," ","")</f>
        <v/>
      </c>
      <c r="AT27" s="226"/>
      <c r="AU27" s="226"/>
      <c r="AV27" s="226"/>
      <c r="AZ27" s="231" t="str">
        <f>$AW$23</f>
        <v/>
      </c>
      <c r="BA27" s="231"/>
      <c r="BB27" s="231"/>
      <c r="BC27" s="231"/>
      <c r="BD27" s="231" t="e">
        <f>IF($BJ$23&gt;0,ROUNDDOWN($BM$23/((($BF$23/100)*$BD$23)/1000),0)+$BJ$23,0)</f>
        <v>#VALUE!</v>
      </c>
      <c r="BE27" s="231"/>
      <c r="BF27" s="231" t="e">
        <f>IF($BJ$23&gt;0,ROUNDUP($BM$23/((($BF$23/100)*$BD$23)/1000),0)+$BJ$23,0)</f>
        <v>#VALUE!</v>
      </c>
      <c r="BG27" s="231"/>
      <c r="BH27" s="226" t="e">
        <f>IF($BJ$23&gt;0,$BM$23/((($BF$23/100)*$BD$23)/1000)+$BJ$23,0)</f>
        <v>#VALUE!</v>
      </c>
      <c r="BI27" s="226" t="e">
        <f>ROUND(((($BD27*$BF$23/100)*$BD$23/1000)+$AL$39)*1000/$Y$32,2)</f>
        <v>#VALUE!</v>
      </c>
      <c r="BJ27" s="226" t="e">
        <f>ROUND(((($BF27*$BF$23/100)*$BD$23/1000)+$AL$39)*1000/$Y$32,2)</f>
        <v>#VALUE!</v>
      </c>
      <c r="BK27" s="226" t="e">
        <f>IF($BI27&gt;$BJ$30,0,1)</f>
        <v>#VALUE!</v>
      </c>
      <c r="BL27" s="226" t="e">
        <f>IF($BK27=0,IF(BI27&gt;$BJ$38,$BD27-1,$BD27),IF(BJ27&gt;$BJ$38,$BF27-1,$BF27))</f>
        <v>#VALUE!</v>
      </c>
      <c r="BM27" s="268"/>
      <c r="BN27" s="268"/>
      <c r="BO27" s="226" t="s">
        <v>991</v>
      </c>
      <c r="BP27" s="226" t="e">
        <f>(BL27*BF23)*BD23/100</f>
        <v>#VALUE!</v>
      </c>
      <c r="BQ27" s="226" t="e">
        <f>AL39*1000</f>
        <v>#VALUE!</v>
      </c>
      <c r="BR27" s="226" t="e">
        <f>BP27+BQ27</f>
        <v>#VALUE!</v>
      </c>
      <c r="BS27" s="226"/>
      <c r="BT27" s="229"/>
      <c r="BU27" s="226" t="s">
        <v>719</v>
      </c>
      <c r="BV27" s="226">
        <f>IF($I$8&lt;&gt;"",VLOOKUP($I$8,CMV!$A$2:$AA$100,17,0),0)</f>
        <v>0</v>
      </c>
      <c r="BY27" s="255" t="s">
        <v>550</v>
      </c>
      <c r="BZ27" s="256">
        <v>1</v>
      </c>
      <c r="CA27" s="256">
        <v>1</v>
      </c>
      <c r="CB27" s="256">
        <v>0</v>
      </c>
      <c r="CD27" s="231" t="s">
        <v>51</v>
      </c>
      <c r="CE27" s="231"/>
      <c r="CF27" s="226" t="s">
        <v>151</v>
      </c>
      <c r="CG27" s="226" t="s">
        <v>152</v>
      </c>
      <c r="CI27" s="239"/>
      <c r="CJ27" s="226"/>
      <c r="CK27" s="226"/>
      <c r="CL27" s="226"/>
      <c r="CM27" s="226"/>
      <c r="CN27" s="226"/>
      <c r="CO27" s="226"/>
      <c r="CP27" s="226"/>
      <c r="CQ27" s="226"/>
      <c r="CR27" s="226"/>
      <c r="CS27" s="226"/>
      <c r="CT27" s="226"/>
      <c r="CU27" s="226"/>
      <c r="CV27" s="226"/>
      <c r="CW27" s="226"/>
      <c r="CX27" s="226"/>
      <c r="CY27" s="226"/>
      <c r="CZ27" s="226"/>
      <c r="DA27" s="226"/>
      <c r="DB27" s="226"/>
      <c r="DC27" s="226"/>
      <c r="DD27" s="226"/>
      <c r="DE27" s="226"/>
      <c r="DH27" s="226">
        <f>HLS!$A26</f>
        <v>0</v>
      </c>
      <c r="DI27" s="226">
        <f>LGS!$A26</f>
        <v>0</v>
      </c>
      <c r="DJ27" s="226">
        <f>FCS!$A26</f>
        <v>0</v>
      </c>
      <c r="DK27" s="226" t="str">
        <f>VDS!$A26</f>
        <v>Porc, épaule - CRUE</v>
      </c>
      <c r="DL27" s="251"/>
      <c r="DM27" s="226">
        <f>'OPT1'!$A26</f>
        <v>0</v>
      </c>
      <c r="DN27" s="226">
        <f>'OPT2'!$A26</f>
        <v>0</v>
      </c>
    </row>
    <row r="28" spans="1:118" ht="25.2" customHeight="1">
      <c r="A28" s="33"/>
      <c r="B28" s="57"/>
      <c r="C28" s="48" t="str">
        <f>IF($AA$54=8,ROUND($Z$32,0)/$X$101&amp;" kcal par jour","")</f>
        <v/>
      </c>
      <c r="D28" s="58"/>
      <c r="E28" s="37"/>
      <c r="F28" s="95" t="str">
        <f>IF($AA$55=15,IF($AO$47=17,$AN$60,IF($AO$47=16,$AO$61,"")),"")</f>
        <v/>
      </c>
      <c r="G28" s="12" t="str">
        <f>IF($AA$55=15,IF($AO$49=1,$AN$61,IF($AO$48=1,$AN$60,"")),"")</f>
        <v/>
      </c>
      <c r="H28" s="12" t="str">
        <f>IF($AA$55=15,IF($AO$50=1,$AN$61,""),"")</f>
        <v/>
      </c>
      <c r="I28" s="12" t="str">
        <f>IF($AA$55=15,IF($AO$51=1,$AN$61,""),"")</f>
        <v/>
      </c>
      <c r="J28" s="12" t="str">
        <f>IF($AA$55=15,IF($AO$52=1,$AN$60,IF($AO$53=1,$AN$61,"")),"")</f>
        <v/>
      </c>
      <c r="K28" s="12" t="str">
        <f>IF($AA$55=15,IF($AR$49=1,$AN$60,IF($AR$52=1,$AN$61,"")),"")</f>
        <v/>
      </c>
      <c r="L28" s="96" t="str">
        <f>IF($AA$55=15,IF($AR$47=1,$AN$60,IF($AR$53=1,$AN$61,"")),"")</f>
        <v/>
      </c>
      <c r="M28" s="37"/>
      <c r="N28" s="37"/>
      <c r="O28" s="37"/>
      <c r="P28" s="37"/>
      <c r="Q28" s="37"/>
      <c r="R28" s="10"/>
      <c r="S28" s="10"/>
      <c r="T28" s="10"/>
      <c r="U28" s="3"/>
      <c r="W28" s="274" t="s">
        <v>697</v>
      </c>
      <c r="X28" s="275">
        <f>$I$7</f>
        <v>0</v>
      </c>
      <c r="Z28" s="226" t="str">
        <f>IF($I$7=$AD$28,(($M$11*$X$3)+($M$12*$Y$3)+($M$13*$Z$3)),"n/a")</f>
        <v>n/a</v>
      </c>
      <c r="AA28" s="226" t="str">
        <f>IF($I$7=$AD$28,($Z$32-$Z$9-$Y$33)*99.9/$Z$28,"n/a")</f>
        <v>n/a</v>
      </c>
      <c r="AB28" s="258"/>
      <c r="AD28" s="226" t="s">
        <v>857</v>
      </c>
      <c r="AE28" s="226" t="str">
        <f>IF($I$7=$AD$28,ROUNDUP($AA$28*$X$3,0),"n/a")</f>
        <v>n/a</v>
      </c>
      <c r="AF28" s="226" t="str">
        <f>IF($I$7=$AD$28,ROUNDUP($AA$28*$Y$3,0),"n/a")</f>
        <v>n/a</v>
      </c>
      <c r="AG28" s="226" t="str">
        <f>IF($I$7=$AD$28,ROUNDUP($AA$28*$Z$3,0),"n/a")</f>
        <v>n/a</v>
      </c>
      <c r="AH28" s="226" t="str">
        <f>IF($I$7=$AD$28,IF($BC$4=0,IF($M$14&gt;0,$AF$17,0),$BC$6),"n/a")</f>
        <v>n/a</v>
      </c>
      <c r="AI28" s="231"/>
      <c r="AJ28" s="231"/>
      <c r="AK28" s="231"/>
      <c r="AL28" s="234"/>
      <c r="AM28" s="272"/>
      <c r="AN28" s="272"/>
      <c r="AO28" s="272"/>
      <c r="AP28" s="272"/>
      <c r="AQ28" s="272"/>
      <c r="AR28" s="272"/>
      <c r="AS28" s="272"/>
      <c r="AT28" s="226"/>
      <c r="AU28" s="226"/>
      <c r="AV28" s="226"/>
      <c r="BM28" s="268"/>
      <c r="BN28" s="268"/>
      <c r="BO28" s="226" t="s">
        <v>992</v>
      </c>
      <c r="BP28" s="226" t="e">
        <f>(BL27*BF23)*BE23/100</f>
        <v>#VALUE!</v>
      </c>
      <c r="BQ28" s="226" t="e">
        <f>AM39*1000</f>
        <v>#VALUE!</v>
      </c>
      <c r="BR28" s="226" t="e">
        <f>BP28+BQ28</f>
        <v>#VALUE!</v>
      </c>
      <c r="BS28" s="226"/>
      <c r="BT28" s="229"/>
      <c r="BU28" s="239"/>
      <c r="BY28" s="255" t="s">
        <v>348</v>
      </c>
      <c r="BZ28" s="256">
        <v>1</v>
      </c>
      <c r="CA28" s="256">
        <v>0</v>
      </c>
      <c r="CB28" s="256">
        <v>0</v>
      </c>
      <c r="CD28" s="239" t="s">
        <v>360</v>
      </c>
      <c r="CE28" s="226">
        <v>1</v>
      </c>
      <c r="CF28" s="226">
        <v>1</v>
      </c>
      <c r="CG28" s="226">
        <v>0</v>
      </c>
      <c r="DH28" s="226">
        <f>HLS!$A27</f>
        <v>0</v>
      </c>
      <c r="DI28" s="226">
        <f>LGS!$A27</f>
        <v>0</v>
      </c>
      <c r="DJ28" s="226">
        <f>FCS!$A27</f>
        <v>0</v>
      </c>
      <c r="DK28" s="226" t="str">
        <f>VDS!$A27</f>
        <v>Porc, épaule - CUITE</v>
      </c>
      <c r="DL28" s="251"/>
      <c r="DM28" s="226">
        <f>'OPT1'!$A27</f>
        <v>0</v>
      </c>
      <c r="DN28" s="226">
        <f>'OPT2'!$A27</f>
        <v>0</v>
      </c>
    </row>
    <row r="29" spans="1:118" ht="25.2" customHeight="1">
      <c r="A29" s="33"/>
      <c r="B29" s="53"/>
      <c r="C29" s="49"/>
      <c r="D29" s="58"/>
      <c r="E29" s="44"/>
      <c r="F29" s="97"/>
      <c r="G29" s="200" t="e">
        <f>IF($AO$47=15," Besoin protéique minimum : "&amp;$Y$35&amp;" g/kg de poids vif, soit "&amp;$Z$35&amp;" g   |   Besoin calcique : "&amp;$BM$20&amp;" g/Mcal de BEE",$AM$16)</f>
        <v>#VALUE!</v>
      </c>
      <c r="H29" s="201"/>
      <c r="I29" s="201"/>
      <c r="J29" s="201"/>
      <c r="K29" s="201"/>
      <c r="L29" s="202"/>
      <c r="M29" s="37"/>
      <c r="N29" s="37"/>
      <c r="O29" s="37"/>
      <c r="P29" s="37"/>
      <c r="Q29" s="37"/>
      <c r="R29" s="10"/>
      <c r="S29" s="10"/>
      <c r="T29" s="10"/>
      <c r="U29" s="3"/>
      <c r="V29" s="276"/>
      <c r="W29" s="226" t="e">
        <f>$AZ$17</f>
        <v>#VALUE!</v>
      </c>
      <c r="X29" s="229" t="e">
        <f>IF($W29&gt;1,"grammes ","gramme ")&amp;IF($W29&gt;1,VLOOKUP($I$15,VDS!$A$2:$AC$107,18,0),"")</f>
        <v>#VALUE!</v>
      </c>
      <c r="BM29" s="268"/>
      <c r="BN29" s="268"/>
      <c r="BO29" s="226" t="s">
        <v>27</v>
      </c>
      <c r="BP29" s="226" t="e">
        <f>BP27/BP28</f>
        <v>#VALUE!</v>
      </c>
      <c r="BQ29" s="226" t="e">
        <f>ROUND(BQ27/BQ28,4)</f>
        <v>#VALUE!</v>
      </c>
      <c r="BR29" s="226" t="e">
        <f>ROUND(BR27/BR28,4)</f>
        <v>#VALUE!</v>
      </c>
      <c r="BS29" s="226"/>
      <c r="BT29" s="229"/>
      <c r="BU29" s="239"/>
      <c r="BY29" s="255" t="s">
        <v>551</v>
      </c>
      <c r="BZ29" s="256">
        <v>1</v>
      </c>
      <c r="CA29" s="256">
        <v>0</v>
      </c>
      <c r="CB29" s="256">
        <v>0</v>
      </c>
      <c r="CD29" s="239" t="s">
        <v>361</v>
      </c>
      <c r="CE29" s="226">
        <v>1.05</v>
      </c>
      <c r="CF29" s="226">
        <v>0</v>
      </c>
      <c r="CG29" s="226">
        <v>1</v>
      </c>
      <c r="DH29" s="226">
        <f>HLS!$A28</f>
        <v>0</v>
      </c>
      <c r="DI29" s="226">
        <f>LGS!$A28</f>
        <v>0</v>
      </c>
      <c r="DJ29" s="226">
        <f>FCS!$A28</f>
        <v>0</v>
      </c>
      <c r="DK29" s="226" t="str">
        <f>VDS!$A28</f>
        <v>Porc, longe - CRUE</v>
      </c>
      <c r="DL29" s="251"/>
      <c r="DM29" s="226">
        <f>'OPT1'!$A28</f>
        <v>0</v>
      </c>
      <c r="DN29" s="226">
        <f>'OPT2'!$A28</f>
        <v>0</v>
      </c>
    </row>
    <row r="30" spans="1:118" ht="25.2" customHeight="1">
      <c r="A30" s="33"/>
      <c r="B30" s="59"/>
      <c r="C30" s="14"/>
      <c r="D30" s="60"/>
      <c r="E30" s="44"/>
      <c r="F30" s="175" t="str">
        <f>IF($AA$55=15,"Taux de protéines : "&amp;ROUND($AE$40/$C$15,2)&amp;" g/kg","")</f>
        <v/>
      </c>
      <c r="G30" s="176"/>
      <c r="H30" s="18" t="str">
        <f>IF($AA$55=15,"Omega-3 : "&amp;ROUND($AR$39,2)&amp;" g","")</f>
        <v/>
      </c>
      <c r="I30" s="19" t="str">
        <f>IF($AA$55=15,"EPA : "&amp;IF($AX$3&gt;1,ROUND($AX$3,2),ROUND($AX$3,3))&amp; " g","")</f>
        <v/>
      </c>
      <c r="J30" s="18" t="str">
        <f>IF($AA$55=15,"Rapport Ca/P : "&amp;$AJ$40,"")</f>
        <v/>
      </c>
      <c r="K30" s="20" t="str">
        <f>IF($AA$55=15,"[ cible 1 à "&amp;$AQ$48&amp;" ]","")</f>
        <v/>
      </c>
      <c r="L30" s="98" t="str">
        <f>IF($AA$55=15,"Viande : "&amp;ROUND($Z$11,0)&amp;" kcal","")</f>
        <v/>
      </c>
      <c r="M30" s="36"/>
      <c r="N30" s="36"/>
      <c r="O30" s="36"/>
      <c r="P30" s="36"/>
      <c r="Q30" s="36"/>
      <c r="R30" s="10"/>
      <c r="S30" s="10"/>
      <c r="T30" s="10"/>
      <c r="V30" s="276"/>
      <c r="W30" s="242" t="s">
        <v>375</v>
      </c>
      <c r="X30" s="242"/>
      <c r="Y30" s="242"/>
      <c r="Z30" s="242"/>
      <c r="AA30" s="238"/>
      <c r="AD30" s="242" t="str">
        <f>"                     CALCULS DES CONSTITUANTS ANALYTIQUES DE LA RATION"</f>
        <v xml:space="preserve">                     CALCULS DES CONSTITUANTS ANALYTIQUES DE LA RATION</v>
      </c>
      <c r="AE30" s="231"/>
      <c r="AF30" s="231"/>
      <c r="AG30" s="231"/>
      <c r="AH30" s="231"/>
      <c r="AI30" s="231"/>
      <c r="AJ30" s="231"/>
      <c r="AK30" s="231"/>
      <c r="AL30" s="231"/>
      <c r="AM30" s="231"/>
      <c r="AN30" s="231"/>
      <c r="AO30" s="231"/>
      <c r="AP30" s="231"/>
      <c r="AQ30" s="231"/>
      <c r="AR30" s="231"/>
      <c r="AS30" s="231"/>
      <c r="AT30" s="226"/>
      <c r="AU30" s="226"/>
      <c r="AV30" s="226"/>
      <c r="BG30" s="226"/>
      <c r="BH30" s="226"/>
      <c r="BI30" s="226" t="s">
        <v>569</v>
      </c>
      <c r="BJ30" s="226" t="e">
        <f>IF(CTRL!C16&gt;0,IF($BJ$35&gt;$BJ$37,$BJ$37,$BJ$35),$BJ$37)</f>
        <v>#N/A</v>
      </c>
      <c r="BM30" s="268"/>
      <c r="BN30" s="268"/>
      <c r="BO30" s="226"/>
      <c r="BP30" s="226" t="s">
        <v>993</v>
      </c>
      <c r="BQ30" s="226" t="e">
        <f>IF(CTRL!C16&gt;0,IF($BR$29&lt;1.1,CTRL!E16,0),0)</f>
        <v>#VALUE!</v>
      </c>
      <c r="BR30" s="226" t="e">
        <f>IF(CTRL!C16&gt;0,$BL$27+$BQ$30,$BL$27)</f>
        <v>#VALUE!</v>
      </c>
      <c r="BS30" s="226"/>
      <c r="BT30" s="229"/>
      <c r="BU30" s="239"/>
      <c r="BY30" s="255" t="s">
        <v>552</v>
      </c>
      <c r="BZ30" s="256">
        <v>1</v>
      </c>
      <c r="CA30" s="256">
        <v>1</v>
      </c>
      <c r="CB30" s="256">
        <v>0</v>
      </c>
      <c r="CD30" s="239" t="s">
        <v>362</v>
      </c>
      <c r="CE30" s="226">
        <v>1.1818181818181817</v>
      </c>
      <c r="CF30" s="226">
        <v>0</v>
      </c>
      <c r="CG30" s="226">
        <v>2</v>
      </c>
      <c r="DH30" s="226">
        <f>HLS!$A29</f>
        <v>0</v>
      </c>
      <c r="DI30" s="226">
        <f>LGS!$A29</f>
        <v>0</v>
      </c>
      <c r="DJ30" s="226">
        <f>FCS!$A29</f>
        <v>0</v>
      </c>
      <c r="DK30" s="226" t="str">
        <f>VDS!$A29</f>
        <v>Porc, longe - CUITE</v>
      </c>
      <c r="DL30" s="251"/>
      <c r="DM30" s="226">
        <f>'OPT1'!$A29</f>
        <v>0</v>
      </c>
      <c r="DN30" s="226">
        <f>'OPT2'!$A29</f>
        <v>0</v>
      </c>
    </row>
    <row r="31" spans="1:118" ht="25.2" customHeight="1">
      <c r="A31" s="33"/>
      <c r="B31" s="159" t="s">
        <v>889</v>
      </c>
      <c r="C31" s="160"/>
      <c r="D31" s="161"/>
      <c r="E31" s="44"/>
      <c r="F31" s="157" t="str">
        <f>IF($AA$55=15,"Protéines animales : "&amp;ROUND($AE$40,2)&amp;" g ("&amp;ROUND($AE$42,1)&amp;"%)","")</f>
        <v/>
      </c>
      <c r="G31" s="158"/>
      <c r="H31" s="82" t="str">
        <f>IF($AA$55=15,"Omega-6 : "&amp;ROUND($AQ$39,2)&amp;" g","")</f>
        <v/>
      </c>
      <c r="I31" s="83" t="str">
        <f>IF($AA$55=15,"DHA : "&amp;IF($AY$3&gt;1,ROUND($AY$3,2),ROUND($AY$3,3))&amp; " g","")</f>
        <v/>
      </c>
      <c r="J31" s="82" t="str">
        <f>IF($AA$55=15,"Ca/Mcal EM : "&amp;$AJ$24,"")</f>
        <v/>
      </c>
      <c r="K31" s="84"/>
      <c r="L31" s="99" t="str">
        <f>IF($AA$55=15,"Légume : "&amp;ROUND($Z$12,0)&amp;" kcal","")</f>
        <v/>
      </c>
      <c r="M31" s="37"/>
      <c r="N31" s="37"/>
      <c r="O31" s="37"/>
      <c r="P31" s="37"/>
      <c r="Q31" s="37"/>
      <c r="R31" s="10"/>
      <c r="S31" s="10"/>
      <c r="T31" s="10"/>
      <c r="U31" s="3"/>
      <c r="V31" s="276"/>
      <c r="W31" s="239"/>
      <c r="X31" s="277" t="s">
        <v>1001</v>
      </c>
      <c r="Y31" s="258"/>
      <c r="Z31" s="226" t="e">
        <f>ROUND($Y$32*$E$19*$E$20*$E$21*$E$22*$E$23*$E$24*$E$25,0)</f>
        <v>#VALUE!</v>
      </c>
      <c r="AA31" s="236"/>
      <c r="AD31" s="226" t="s">
        <v>36</v>
      </c>
      <c r="AE31" s="226" t="s">
        <v>4</v>
      </c>
      <c r="AF31" s="226" t="s">
        <v>5</v>
      </c>
      <c r="AG31" s="226" t="s">
        <v>6</v>
      </c>
      <c r="AH31" s="226" t="s">
        <v>7</v>
      </c>
      <c r="AI31" s="226" t="s">
        <v>33</v>
      </c>
      <c r="AJ31" s="226" t="s">
        <v>8</v>
      </c>
      <c r="AK31" s="226" t="s">
        <v>9</v>
      </c>
      <c r="AL31" s="234" t="s">
        <v>8</v>
      </c>
      <c r="AM31" s="234" t="s">
        <v>9</v>
      </c>
      <c r="AN31" s="226" t="s">
        <v>35</v>
      </c>
      <c r="AO31" s="226" t="s">
        <v>37</v>
      </c>
      <c r="AP31" s="226" t="s">
        <v>52</v>
      </c>
      <c r="AQ31" s="226" t="s">
        <v>53</v>
      </c>
      <c r="AR31" s="226" t="s">
        <v>54</v>
      </c>
      <c r="AS31" s="226" t="s">
        <v>109</v>
      </c>
      <c r="AT31" s="226"/>
      <c r="AU31" s="226"/>
      <c r="AV31" s="226"/>
      <c r="BG31" s="226"/>
      <c r="BH31" s="226"/>
      <c r="BI31" s="226" t="s">
        <v>570</v>
      </c>
      <c r="BJ31" s="226" t="str">
        <f>$E$21</f>
        <v/>
      </c>
      <c r="BL31" s="242" t="s">
        <v>417</v>
      </c>
      <c r="BM31" s="238"/>
      <c r="BT31" s="239"/>
      <c r="BU31" s="239"/>
      <c r="BY31" s="255" t="s">
        <v>553</v>
      </c>
      <c r="BZ31" s="256">
        <v>1</v>
      </c>
      <c r="CA31" s="256">
        <v>0</v>
      </c>
      <c r="CB31" s="256">
        <v>0</v>
      </c>
      <c r="CD31" s="239"/>
      <c r="CE31" s="226"/>
      <c r="CF31" s="226"/>
      <c r="CG31" s="226"/>
      <c r="DH31" s="226">
        <f>HLS!$A30</f>
        <v>0</v>
      </c>
      <c r="DI31" s="226">
        <f>LGS!$A30</f>
        <v>0</v>
      </c>
      <c r="DJ31" s="226">
        <f>FCS!$A30</f>
        <v>0</v>
      </c>
      <c r="DK31" s="226" t="str">
        <f>VDS!$A30</f>
        <v>Porc, filet maigre - CRU</v>
      </c>
      <c r="DL31" s="251"/>
      <c r="DM31" s="226">
        <f>'OPT1'!$A30</f>
        <v>0</v>
      </c>
      <c r="DN31" s="226">
        <f>'OPT2'!$A30</f>
        <v>0</v>
      </c>
    </row>
    <row r="32" spans="1:118" ht="25.2" customHeight="1">
      <c r="A32" s="33"/>
      <c r="B32" s="167" t="s">
        <v>890</v>
      </c>
      <c r="C32" s="168"/>
      <c r="D32" s="169"/>
      <c r="E32" s="44"/>
      <c r="F32" s="157" t="str">
        <f>IF($AA$55=15,"Protéines végétales : "&amp;ROUND($AE$41,2)&amp;" g ("&amp;ROUND($AE$43,1)&amp;"%)","")</f>
        <v/>
      </c>
      <c r="G32" s="158"/>
      <c r="H32" s="82" t="str">
        <f>IF($AA$55=15,"Omega-9 : "&amp;ROUND($AP$39,2)&amp;" g","")</f>
        <v/>
      </c>
      <c r="I32" s="83" t="str">
        <f>IF($AA$55=15,"BEE : "&amp;ROUNDUP($Y$32,0),"")</f>
        <v/>
      </c>
      <c r="J32" s="82" t="str">
        <f>IF($AA$55=15,"P/Mcal EM : "&amp;$AK$24,"")</f>
        <v/>
      </c>
      <c r="K32" s="84"/>
      <c r="L32" s="99" t="str">
        <f>IF($AA$55=15,"Féculent : "&amp;ROUND($Z$13,0)&amp;" kcal","")</f>
        <v/>
      </c>
      <c r="M32" s="37"/>
      <c r="N32" s="37"/>
      <c r="O32" s="37"/>
      <c r="P32" s="37"/>
      <c r="Q32" s="37"/>
      <c r="R32" s="10"/>
      <c r="S32" s="10"/>
      <c r="T32" s="10"/>
      <c r="U32" s="3"/>
      <c r="V32" s="276"/>
      <c r="W32" s="278" t="s">
        <v>1002</v>
      </c>
      <c r="X32" s="266"/>
      <c r="Y32" s="258">
        <f>ROUND(100*($C$15^0.667)*$X$101,0)</f>
        <v>0</v>
      </c>
      <c r="Z32" s="226" t="e">
        <f>IF($Z$31&lt;($Y$32/2),$Y$32/2,$Z$31)</f>
        <v>#VALUE!</v>
      </c>
      <c r="AA32" s="231"/>
      <c r="AD32" s="226" t="str">
        <f>IF($W$61=1,$G$11,"Pas d'œuf")</f>
        <v>Pas d'œuf</v>
      </c>
      <c r="AE32" s="226">
        <f>IF($W$61=1,VLOOKUP($G$11,'OPT1'!$A$2:$AC$100,3,0),0)</f>
        <v>0</v>
      </c>
      <c r="AF32" s="226">
        <f>IF($W$61=1,VLOOKUP($G$11,'OPT1'!$A$2:$AC$100,4,0),0)</f>
        <v>0</v>
      </c>
      <c r="AG32" s="226">
        <f>IF($W$61=1,VLOOKUP($G$11,'OPT1'!$A$2:$AC$100,5,0),0)</f>
        <v>0</v>
      </c>
      <c r="AH32" s="226">
        <f>IF($W$61=1,VLOOKUP($G$11,'OPT1'!$A$2:$AC$100,6,0),0)</f>
        <v>0</v>
      </c>
      <c r="AI32" s="226">
        <f>IF($W$61=1,VLOOKUP($G$11,'OPT1'!$A$2:$AC$100,7,0),0)</f>
        <v>0</v>
      </c>
      <c r="AJ32" s="226">
        <f>IF($W$61=1,VLOOKUP($G$11,'OPT1'!$A$2:$AC$100,8,0)/1000,0)</f>
        <v>0</v>
      </c>
      <c r="AK32" s="226">
        <f>IF($W$61=1,VLOOKUP($G$11,'OPT1'!$A$2:$AC$100,9,0)/1000,0)</f>
        <v>0</v>
      </c>
      <c r="AL32" s="226">
        <f>IF($W$61=1,VLOOKUP($G$11,'OPT1'!$A$2:$AC$100,8,0)/1000,0)</f>
        <v>0</v>
      </c>
      <c r="AM32" s="226">
        <f>IF($W$61=1,VLOOKUP($G$11,'OPT1'!$A$2:$AC$100,9,0)/1000,0)</f>
        <v>0</v>
      </c>
      <c r="AN32" s="226">
        <f>IF($W$61=1,VLOOKUP($G$11,'OPT1'!$A$2:$AC$100,10,0),0)</f>
        <v>0</v>
      </c>
      <c r="AO32" s="226">
        <f>IF($W$61=1,VLOOKUP($G$11,'OPT1'!$A$2:$AC$100,11,0),0)</f>
        <v>0</v>
      </c>
      <c r="AP32" s="226">
        <f>IF($W$61=1,VLOOKUP($G$11,'OPT1'!$A$2:$AC$100,12,0),0)</f>
        <v>0</v>
      </c>
      <c r="AQ32" s="226">
        <f>IF($W$61=1,VLOOKUP($G$11,'OPT1'!$A$2:$AC$100,13,0),0)</f>
        <v>0</v>
      </c>
      <c r="AR32" s="226">
        <f>IF($W$61=1,VLOOKUP($G$11,'OPT1'!$A$2:$AC$100,14,0),0)</f>
        <v>0</v>
      </c>
      <c r="AS32" s="226">
        <f>IF($W$61=1,100-AE32-AF32-AG32-AH32-AI32,0)</f>
        <v>0</v>
      </c>
      <c r="AT32" s="226"/>
      <c r="AU32" s="226"/>
      <c r="AV32" s="226"/>
      <c r="BG32" s="252" t="s">
        <v>571</v>
      </c>
      <c r="BH32" s="226" t="s">
        <v>572</v>
      </c>
      <c r="BI32" s="226" t="s">
        <v>958</v>
      </c>
      <c r="BJ32" s="226" t="e">
        <f>ROUNDUP(($BJ$39+$BJ$37+$BJ$37)/3,2)</f>
        <v>#N/A</v>
      </c>
      <c r="BL32" s="279" t="str">
        <f>CTRL!B16</f>
        <v>actif</v>
      </c>
      <c r="BM32" s="238"/>
      <c r="BY32" s="255" t="s">
        <v>349</v>
      </c>
      <c r="BZ32" s="256">
        <v>1</v>
      </c>
      <c r="CA32" s="256">
        <v>0</v>
      </c>
      <c r="CB32" s="256">
        <v>0</v>
      </c>
      <c r="CD32" s="239"/>
      <c r="CE32" s="226"/>
      <c r="CF32" s="226"/>
      <c r="CG32" s="226"/>
      <c r="DH32" s="226">
        <f>HLS!$A31</f>
        <v>0</v>
      </c>
      <c r="DI32" s="226">
        <f>LGS!$A31</f>
        <v>0</v>
      </c>
      <c r="DJ32" s="226">
        <f>FCS!$A31</f>
        <v>0</v>
      </c>
      <c r="DK32" s="226" t="str">
        <f>VDS!$A31</f>
        <v>Porc, filet maigre - BIEN CUIT</v>
      </c>
      <c r="DL32" s="251"/>
      <c r="DM32" s="226">
        <f>'OPT1'!$A31</f>
        <v>0</v>
      </c>
      <c r="DN32" s="226">
        <f>'OPT2'!$A31</f>
        <v>0</v>
      </c>
    </row>
    <row r="33" spans="1:118" ht="25.2" customHeight="1">
      <c r="A33" s="33"/>
      <c r="B33" s="203" t="s">
        <v>924</v>
      </c>
      <c r="C33" s="204"/>
      <c r="D33" s="205"/>
      <c r="E33" s="45"/>
      <c r="F33" s="157" t="str">
        <f>IF($AA$55=15,"Amidon : "&amp;ROUND($AO$39,2)&amp;" g soit "&amp;ROUND((100*$AO$39)/SUM($AE$39:$AI$39),2)&amp; "% (MS)","")</f>
        <v/>
      </c>
      <c r="G33" s="158"/>
      <c r="H33" s="82" t="str">
        <f>IF($AA$55=15,"Rapport 6/3 : "&amp;ROUND($AR$40,2),"")</f>
        <v/>
      </c>
      <c r="I33" s="83" t="str">
        <f>IF($AA$55=15,"RPC : "&amp;ROUND($AE$39/$Z$23*1000,0),"")</f>
        <v/>
      </c>
      <c r="J33" s="82" t="str">
        <f>IF($AA$55=15,"Ca/Mcal BEE : "&amp;$AJ$21,"")</f>
        <v/>
      </c>
      <c r="K33" s="84" t="str">
        <f>IF($AA$55=15,"[ cible "&amp;$AQ$49&amp;" à "&amp;$AQ$55&amp;" ]","")</f>
        <v/>
      </c>
      <c r="L33" s="99" t="str">
        <f>IF($AA$55=15,"Autre(s) : "&amp;ROUND($Z$23-$Z$11-$Z$12-$Z$13,0)&amp;" kcal","")</f>
        <v/>
      </c>
      <c r="M33" s="37"/>
      <c r="N33" s="37"/>
      <c r="O33" s="37"/>
      <c r="P33" s="37"/>
      <c r="Q33" s="37"/>
      <c r="R33" s="10"/>
      <c r="S33" s="10"/>
      <c r="T33" s="10"/>
      <c r="U33" s="3"/>
      <c r="V33" s="276"/>
      <c r="W33" s="278" t="s">
        <v>1003</v>
      </c>
      <c r="X33" s="266"/>
      <c r="Y33" s="226">
        <f>ROUND($W$59+$W$63,2)</f>
        <v>0</v>
      </c>
      <c r="Z33" s="226" t="e">
        <f>$E$19*$E$20*$E$21*$E$22*$E$23*$E$24*$E$25</f>
        <v>#VALUE!</v>
      </c>
      <c r="AA33" s="231"/>
      <c r="AD33" s="258" t="str">
        <f>IF($W$57=1,$G$12,"Pas de yaourt")</f>
        <v>Pas de yaourt</v>
      </c>
      <c r="AE33" s="226">
        <f>IF($W$57=1,VLOOKUP($G$12,'OPT2'!$A$2:$AC$100,3,0),0)</f>
        <v>0</v>
      </c>
      <c r="AF33" s="226">
        <f>IF($W$57=1,VLOOKUP($G$12,'OPT2'!$A$2:$AC$100,4,0),0)</f>
        <v>0</v>
      </c>
      <c r="AG33" s="226">
        <f>IF($W$57=1,VLOOKUP($G$12,'OPT2'!$A$2:$AC$100,5,0),0)</f>
        <v>0</v>
      </c>
      <c r="AH33" s="226">
        <f>IF($W$57=1,VLOOKUP($G$12,'OPT2'!$A$2:$AC$100,6,0),0)</f>
        <v>0</v>
      </c>
      <c r="AI33" s="226">
        <f>IF($W$57=1,VLOOKUP($G$12,'OPT2'!$A$2:$AC$100,7,0),0)</f>
        <v>0</v>
      </c>
      <c r="AJ33" s="226">
        <f>IF($W$57=1,VLOOKUP($G$12,'OPT2'!$A$2:$AC$100,8,0)/1000,0)</f>
        <v>0</v>
      </c>
      <c r="AK33" s="226">
        <f>IF($W$57=1,VLOOKUP($G$12,'OPT2'!$A$2:$AC$100,9,0)/1000,0)</f>
        <v>0</v>
      </c>
      <c r="AL33" s="226">
        <f>IF($W$57=1,VLOOKUP($G$12,'OPT2'!$A$2:$AC$100,8,0)/1000,0)</f>
        <v>0</v>
      </c>
      <c r="AM33" s="226">
        <f>IF($W$57=1,VLOOKUP($G$12,'OPT2'!$A$2:$AC$100,9,0)/1000,0)</f>
        <v>0</v>
      </c>
      <c r="AN33" s="226">
        <f>IF($W$57=1,VLOOKUP($G$12,'OPT2'!$A$2:$AC$100,10,0),0)</f>
        <v>0</v>
      </c>
      <c r="AO33" s="226">
        <f>IF($W$57=1,VLOOKUP($G$12,'OPT2'!$A$2:$AC$100,11,0),0)</f>
        <v>0</v>
      </c>
      <c r="AP33" s="226">
        <f>IF($W$57=1,VLOOKUP($G$12,'OPT2'!$A$2:$AC$100,12,0),0)</f>
        <v>0</v>
      </c>
      <c r="AQ33" s="226">
        <f>IF($W$57=1,VLOOKUP($G$12,'OPT2'!$A$2:$AC$100,13,0),0)</f>
        <v>0</v>
      </c>
      <c r="AR33" s="226">
        <f>IF($W$57=1,VLOOKUP($G$12,'OPT2'!$A$2:$AC$100,14,0),0)</f>
        <v>0</v>
      </c>
      <c r="AS33" s="226">
        <f>IF($W$57=1,100-AE33-AF33-AG33-AH33-AI33,0)</f>
        <v>0</v>
      </c>
      <c r="AT33" s="226"/>
      <c r="AU33" s="226"/>
      <c r="AV33" s="226"/>
      <c r="BG33" s="280"/>
      <c r="BH33" s="226" t="s">
        <v>573</v>
      </c>
      <c r="BI33" s="226" t="s">
        <v>958</v>
      </c>
      <c r="BJ33" s="226" t="e">
        <f>ROUNDUP(($BJ$39+$BJ$37+$BJ$37)/3,2)</f>
        <v>#N/A</v>
      </c>
      <c r="BL33" s="238"/>
      <c r="BM33" s="238"/>
      <c r="BY33" s="255" t="s">
        <v>554</v>
      </c>
      <c r="BZ33" s="256">
        <v>1</v>
      </c>
      <c r="CA33" s="256">
        <v>0</v>
      </c>
      <c r="CB33" s="256">
        <v>0</v>
      </c>
      <c r="DH33" s="226">
        <f>HLS!$A32</f>
        <v>0</v>
      </c>
      <c r="DI33" s="226">
        <f>LGS!$A32</f>
        <v>0</v>
      </c>
      <c r="DJ33" s="226">
        <f>FCS!$A32</f>
        <v>0</v>
      </c>
      <c r="DK33" s="226" t="str">
        <f>VDS!$A32</f>
        <v>Poulet, viande de cuisse - CRUE</v>
      </c>
      <c r="DL33" s="251"/>
      <c r="DM33" s="226">
        <f>'OPT1'!$A32</f>
        <v>0</v>
      </c>
      <c r="DN33" s="226">
        <f>'OPT2'!$A32</f>
        <v>0</v>
      </c>
    </row>
    <row r="34" spans="1:118" ht="25.2" customHeight="1">
      <c r="A34" s="33"/>
      <c r="B34" s="162" t="s">
        <v>925</v>
      </c>
      <c r="C34" s="163"/>
      <c r="D34" s="164"/>
      <c r="E34" s="36"/>
      <c r="F34" s="165" t="str">
        <f>IF($AA$55=15,"Taux d'humidité estimé : "&amp;$AI$44&amp;"%","")</f>
        <v/>
      </c>
      <c r="G34" s="166"/>
      <c r="H34" s="100" t="str">
        <f>IF($AA$55=15,"Rapport 9/6 : "&amp;ROUND($AP$40,2),"")</f>
        <v/>
      </c>
      <c r="I34" s="101" t="str">
        <f>IF($AA$55=15,"NaCl : "&amp;ROUND($AN$39,2)&amp;" g","")</f>
        <v/>
      </c>
      <c r="J34" s="102" t="str">
        <f>IF($AA$55=15,"P/Mcal BEE : "&amp;$AK$21,"")</f>
        <v/>
      </c>
      <c r="K34" s="103" t="str">
        <f>IF($AA$55=15,"[ cible "&amp;$AQ$47&amp;" à "&amp;$AQ$56&amp;" ]","")</f>
        <v/>
      </c>
      <c r="L34" s="104" t="str">
        <f>IF($AA$55=15,"Total  : "&amp;ROUND($Z$23,0)&amp;" kcal","")</f>
        <v/>
      </c>
      <c r="M34" s="37"/>
      <c r="N34" s="37"/>
      <c r="O34" s="37"/>
      <c r="P34" s="37"/>
      <c r="Q34" s="37"/>
      <c r="R34" s="10"/>
      <c r="S34" s="10"/>
      <c r="T34" s="10"/>
      <c r="U34" s="3"/>
      <c r="V34" s="276"/>
      <c r="W34" s="278" t="s">
        <v>1004</v>
      </c>
      <c r="X34" s="266"/>
      <c r="Y34" s="226" t="e">
        <f>VLOOKUP($C$20,$CI$4:$CP$27,8,0)</f>
        <v>#N/A</v>
      </c>
      <c r="Z34" s="226" t="e">
        <f>$Y$34*$C$15*$X$101</f>
        <v>#N/A</v>
      </c>
      <c r="AA34" s="231"/>
      <c r="AD34" s="258" t="str">
        <f>IF($I$8="","Pas de CMV",$AW$23)</f>
        <v>Pas de CMV</v>
      </c>
      <c r="AE34" s="226">
        <f>IF($I$8="",0,$AY$23)</f>
        <v>0</v>
      </c>
      <c r="AF34" s="226">
        <f>IF($I$8="",0,$AZ$23)</f>
        <v>0</v>
      </c>
      <c r="AG34" s="226">
        <f>IF($I$8="",0,$BA$23)</f>
        <v>0</v>
      </c>
      <c r="AH34" s="226">
        <f>IF($I$8="",0,$BB$23)</f>
        <v>0</v>
      </c>
      <c r="AI34" s="226">
        <f>IF($I$8="",0,$BC$23)</f>
        <v>0</v>
      </c>
      <c r="AJ34" s="226">
        <f>IF($I$8="",0,$BD$23/1000)</f>
        <v>0</v>
      </c>
      <c r="AK34" s="226">
        <f>IF($I$8="",0,$BE$23/1000)</f>
        <v>0</v>
      </c>
      <c r="AL34" s="281"/>
      <c r="AM34" s="281"/>
      <c r="AN34" s="226"/>
      <c r="AO34" s="226"/>
      <c r="AP34" s="226"/>
      <c r="AQ34" s="226"/>
      <c r="AR34" s="226"/>
      <c r="AS34" s="226">
        <f>IF($I$8="",0,$BR$23)</f>
        <v>0</v>
      </c>
      <c r="AT34" s="226"/>
      <c r="AU34" s="226"/>
      <c r="AV34" s="226"/>
      <c r="BG34" s="280"/>
      <c r="BH34" s="226" t="s">
        <v>574</v>
      </c>
      <c r="BI34" s="226" t="s">
        <v>958</v>
      </c>
      <c r="BJ34" s="226" t="e">
        <f>ROUNDUP(($BJ$39+$BJ$37+$BJ$37)/3,2)</f>
        <v>#N/A</v>
      </c>
      <c r="BY34" s="255" t="s">
        <v>555</v>
      </c>
      <c r="BZ34" s="256">
        <v>1</v>
      </c>
      <c r="CA34" s="256">
        <v>0</v>
      </c>
      <c r="CB34" s="256">
        <v>0</v>
      </c>
      <c r="DH34" s="226">
        <f>HLS!$A33</f>
        <v>0</v>
      </c>
      <c r="DI34" s="226">
        <f>LGS!$A33</f>
        <v>0</v>
      </c>
      <c r="DJ34" s="226">
        <f>FCS!$A33</f>
        <v>0</v>
      </c>
      <c r="DK34" s="226" t="str">
        <f>VDS!$A33</f>
        <v>Poulet, viande de cuisse - CUITE</v>
      </c>
      <c r="DL34" s="251"/>
      <c r="DM34" s="226">
        <f>'OPT1'!$A33</f>
        <v>0</v>
      </c>
      <c r="DN34" s="226">
        <f>'OPT2'!$A33</f>
        <v>0</v>
      </c>
    </row>
    <row r="35" spans="1:118" ht="18" customHeight="1" thickBot="1">
      <c r="A35" s="33"/>
      <c r="B35" s="108"/>
      <c r="C35" s="108"/>
      <c r="D35" s="108"/>
      <c r="E35" s="108"/>
      <c r="F35" s="108"/>
      <c r="G35" s="108"/>
      <c r="H35" s="108"/>
      <c r="I35" s="108"/>
      <c r="J35" s="108"/>
      <c r="K35" s="108"/>
      <c r="L35" s="108"/>
      <c r="M35" s="37"/>
      <c r="N35" s="37"/>
      <c r="O35" s="37"/>
      <c r="P35" s="37"/>
      <c r="Q35" s="37"/>
      <c r="R35" s="10"/>
      <c r="S35" s="10"/>
      <c r="T35" s="10"/>
      <c r="U35" s="3"/>
      <c r="V35" s="276"/>
      <c r="W35" s="278" t="s">
        <v>1005</v>
      </c>
      <c r="X35" s="266"/>
      <c r="Y35" s="226" t="e">
        <f>VLOOKUP($C$20,$CI$4:$CP$27,6,0)</f>
        <v>#N/A</v>
      </c>
      <c r="Z35" s="226" t="e">
        <f>$Y$35*$C$15*$X$101</f>
        <v>#N/A</v>
      </c>
      <c r="AA35" s="226"/>
      <c r="AD35" s="258" t="str">
        <f>IF($I$11="","PAS DE VIANDES","*** MIXTE ***")</f>
        <v>PAS DE VIANDES</v>
      </c>
      <c r="AE35" s="226">
        <f t="shared" ref="AE35:AS35" si="1">AZ$14</f>
        <v>0</v>
      </c>
      <c r="AF35" s="226">
        <f t="shared" si="1"/>
        <v>0</v>
      </c>
      <c r="AG35" s="226">
        <f t="shared" si="1"/>
        <v>0</v>
      </c>
      <c r="AH35" s="226">
        <f t="shared" si="1"/>
        <v>0</v>
      </c>
      <c r="AI35" s="226">
        <f t="shared" si="1"/>
        <v>0</v>
      </c>
      <c r="AJ35" s="226">
        <f t="shared" si="1"/>
        <v>0</v>
      </c>
      <c r="AK35" s="226">
        <f t="shared" si="1"/>
        <v>0</v>
      </c>
      <c r="AL35" s="226">
        <f t="shared" si="1"/>
        <v>0</v>
      </c>
      <c r="AM35" s="226">
        <f t="shared" si="1"/>
        <v>0</v>
      </c>
      <c r="AN35" s="226">
        <f t="shared" si="1"/>
        <v>0</v>
      </c>
      <c r="AO35" s="226">
        <f t="shared" si="1"/>
        <v>0</v>
      </c>
      <c r="AP35" s="226">
        <f t="shared" si="1"/>
        <v>0</v>
      </c>
      <c r="AQ35" s="226">
        <f t="shared" si="1"/>
        <v>0</v>
      </c>
      <c r="AR35" s="226">
        <f t="shared" si="1"/>
        <v>0</v>
      </c>
      <c r="AS35" s="226">
        <f t="shared" si="1"/>
        <v>0</v>
      </c>
      <c r="AT35" s="226"/>
      <c r="AU35" s="226"/>
      <c r="AV35" s="226"/>
      <c r="BG35" s="226"/>
      <c r="BH35" s="226"/>
      <c r="BI35" s="226" t="s">
        <v>672</v>
      </c>
      <c r="BJ35" s="226" t="e">
        <f>IF($BJ$31&lt;1.0001,$BJ$32,IF($BJ$31&gt;1.9999,$BJ$34,$BJ$33))</f>
        <v>#N/A</v>
      </c>
      <c r="BY35" s="255" t="s">
        <v>556</v>
      </c>
      <c r="BZ35" s="256">
        <v>1</v>
      </c>
      <c r="CA35" s="256">
        <v>1</v>
      </c>
      <c r="CB35" s="256">
        <v>0</v>
      </c>
      <c r="DH35" s="226">
        <f>HLS!$A34</f>
        <v>0</v>
      </c>
      <c r="DI35" s="226">
        <f>LGS!$A34</f>
        <v>0</v>
      </c>
      <c r="DJ35" s="226">
        <f>FCS!$A34</f>
        <v>0</v>
      </c>
      <c r="DK35" s="226" t="str">
        <f>VDS!$A34</f>
        <v>Poulet, filet sans peau - CRU</v>
      </c>
      <c r="DL35" s="251"/>
      <c r="DM35" s="226">
        <f>'OPT1'!$A34</f>
        <v>0</v>
      </c>
      <c r="DN35" s="226">
        <f>'OPT2'!$A34</f>
        <v>0</v>
      </c>
    </row>
    <row r="36" spans="1:118" ht="25.2" customHeight="1">
      <c r="A36" s="33"/>
      <c r="B36" s="151" t="s">
        <v>947</v>
      </c>
      <c r="C36" s="152"/>
      <c r="D36" s="112"/>
      <c r="E36" s="112"/>
      <c r="F36" s="112"/>
      <c r="G36" s="112"/>
      <c r="H36" s="112"/>
      <c r="I36" s="112"/>
      <c r="J36" s="112"/>
      <c r="K36" s="112"/>
      <c r="L36" s="113"/>
      <c r="M36" s="37"/>
      <c r="N36" s="37"/>
      <c r="O36" s="37"/>
      <c r="P36" s="37"/>
      <c r="Q36" s="37"/>
      <c r="R36" s="137"/>
      <c r="S36" s="138"/>
      <c r="T36" s="139"/>
      <c r="U36" s="139"/>
      <c r="V36" s="276"/>
      <c r="W36" s="278" t="s">
        <v>1006</v>
      </c>
      <c r="X36" s="278"/>
      <c r="Y36" s="226" t="e">
        <f>VLOOKUP($C$20,$CI$4:$CP$27,5,0)</f>
        <v>#N/A</v>
      </c>
      <c r="Z36" s="226" t="e">
        <f>$Y$36*$C$15*$X$101</f>
        <v>#N/A</v>
      </c>
      <c r="AA36" s="226"/>
      <c r="AD36" s="258" t="str">
        <f>IF($I$12="","PAS DE LEGUMES",$I$12)</f>
        <v>PAS DE LEGUMES</v>
      </c>
      <c r="AE36" s="226">
        <f>IF($I$12="",0,VLOOKUP($I$12,LGS!$A$2:$AC$100,3,0))</f>
        <v>0</v>
      </c>
      <c r="AF36" s="226">
        <f>IF($I$12="",0,VLOOKUP($I$12,LGS!$A$2:$AC$100,4,0))</f>
        <v>0</v>
      </c>
      <c r="AG36" s="226">
        <f>IF($I$12="",0,VLOOKUP($I$12,LGS!$A$2:$AC$100,5,0))</f>
        <v>0</v>
      </c>
      <c r="AH36" s="226">
        <f>IF($I$12="",0,VLOOKUP($I$12,LGS!$A$2:$AC$100,6,0))</f>
        <v>0</v>
      </c>
      <c r="AI36" s="226">
        <f>IF($I$12="",0,VLOOKUP($I$12,LGS!$A$2:$AC$100,7,0))</f>
        <v>0</v>
      </c>
      <c r="AJ36" s="226">
        <f>IF($I$12="",0,VLOOKUP($I$12,LGS!$A$2:$AC$100,8,0)/1000)</f>
        <v>0</v>
      </c>
      <c r="AK36" s="226">
        <f>IF($I$12="",0,VLOOKUP($I$12,LGS!$A$2:$AC$100,9,0)/1000)</f>
        <v>0</v>
      </c>
      <c r="AL36" s="226">
        <f>IF($I$12="",0,VLOOKUP($I$12,LGS!$A$2:$AC$100,8,0)/1000)</f>
        <v>0</v>
      </c>
      <c r="AM36" s="226">
        <f>IF($I$12="",0,VLOOKUP($I$12,LGS!$A$2:$AC$100,9,0)/1000)</f>
        <v>0</v>
      </c>
      <c r="AN36" s="226">
        <f>IF($I$12="",0,VLOOKUP($I$12,LGS!$A$2:$AC$100,10,0))</f>
        <v>0</v>
      </c>
      <c r="AO36" s="226">
        <f>IF($I$12="",0,VLOOKUP($I$12,LGS!$A$2:$AC$100,11,0))</f>
        <v>0</v>
      </c>
      <c r="AP36" s="226">
        <f>IF($I$12="",0,VLOOKUP($I$12,LGS!$A$2:$AC$100,12,0))</f>
        <v>0</v>
      </c>
      <c r="AQ36" s="226">
        <f>IF($I$12="",0,VLOOKUP($I$12,LGS!$A$2:$AC$100,13,0))</f>
        <v>0</v>
      </c>
      <c r="AR36" s="226">
        <f>IF($I$12="",0,VLOOKUP($I$12,LGS!$A$2:$AC$100,14,0))</f>
        <v>0</v>
      </c>
      <c r="AS36" s="226">
        <f>IF($I$12="",0,100-AE36-AF36-AG36-AH36-AI36)</f>
        <v>0</v>
      </c>
      <c r="AT36" s="226"/>
      <c r="AU36" s="226"/>
      <c r="AV36" s="226"/>
      <c r="BY36" s="255" t="s">
        <v>557</v>
      </c>
      <c r="BZ36" s="256">
        <v>1.1000000000000001</v>
      </c>
      <c r="CA36" s="256">
        <v>0</v>
      </c>
      <c r="CB36" s="256">
        <v>0</v>
      </c>
      <c r="DH36" s="226">
        <f>HLS!$A35</f>
        <v>0</v>
      </c>
      <c r="DI36" s="226">
        <f>LGS!$A35</f>
        <v>0</v>
      </c>
      <c r="DJ36" s="226">
        <f>FCS!$A35</f>
        <v>0</v>
      </c>
      <c r="DK36" s="226" t="str">
        <f>VDS!$A35</f>
        <v>Poulet, filet sans peau - CUIT</v>
      </c>
      <c r="DL36" s="251"/>
      <c r="DM36" s="226">
        <f>'OPT1'!$A35</f>
        <v>0</v>
      </c>
      <c r="DN36" s="226">
        <f>'OPT2'!$A35</f>
        <v>0</v>
      </c>
    </row>
    <row r="37" spans="1:118" ht="25.2" customHeight="1">
      <c r="A37" s="34"/>
      <c r="B37" s="153"/>
      <c r="C37" s="154"/>
      <c r="D37" s="114"/>
      <c r="E37" s="115"/>
      <c r="F37" s="115"/>
      <c r="G37" s="115"/>
      <c r="H37" s="11"/>
      <c r="I37" s="11"/>
      <c r="J37" s="11"/>
      <c r="K37" s="11"/>
      <c r="L37" s="116"/>
      <c r="M37" s="37"/>
      <c r="N37" s="37"/>
      <c r="O37" s="37"/>
      <c r="P37" s="37"/>
      <c r="Q37" s="37"/>
      <c r="R37" s="137"/>
      <c r="S37" s="140"/>
      <c r="T37" s="141"/>
      <c r="U37" s="244"/>
      <c r="AD37" s="258" t="str">
        <f>IF($I$13="","PAS DE FECULENTS",$I$13)</f>
        <v>PAS DE FECULENTS</v>
      </c>
      <c r="AE37" s="226">
        <f>IF($I$13="",0,VLOOKUP($I$13,FCS!$A$2:$AC$100,3,0))</f>
        <v>0</v>
      </c>
      <c r="AF37" s="226">
        <f>IF($I$13="",0,VLOOKUP($I$13,FCS!$A$2:$AC$100,4,0))</f>
        <v>0</v>
      </c>
      <c r="AG37" s="226">
        <f>IF($I$13="",0,VLOOKUP($I$13,FCS!$A$2:$AC$100,5,0))</f>
        <v>0</v>
      </c>
      <c r="AH37" s="226">
        <f>IF($I$13="",0,VLOOKUP($I$13,FCS!$A$2:$AC$100,6,0))</f>
        <v>0</v>
      </c>
      <c r="AI37" s="226">
        <f>IF($I$13="",0,VLOOKUP($I$13,FCS!$A$2:$AC$100,7,0))</f>
        <v>0</v>
      </c>
      <c r="AJ37" s="226">
        <f>IF($I$13="",0,VLOOKUP($I$13,FCS!$A$2:$AC$100,8,0)/1000)</f>
        <v>0</v>
      </c>
      <c r="AK37" s="226">
        <f>IF($I$13="",0,VLOOKUP($I$13,FCS!$A$2:$AC$100,9,0)/1000)</f>
        <v>0</v>
      </c>
      <c r="AL37" s="226">
        <f>IF($I$13="",0,VLOOKUP($I$13,FCS!$A$2:$AC$100,8,0)/1000)</f>
        <v>0</v>
      </c>
      <c r="AM37" s="226">
        <f>IF($I$13="",0,VLOOKUP($I$13,FCS!$A$2:$AC$100,9,0)/1000)</f>
        <v>0</v>
      </c>
      <c r="AN37" s="226">
        <f>IF($I$13="",0,VLOOKUP($I$13,FCS!$A$2:$AC$100,10,0))</f>
        <v>0</v>
      </c>
      <c r="AO37" s="226">
        <f>IF($I$13="",0,VLOOKUP($I$13,FCS!$A$2:$AC$100,11,0))</f>
        <v>0</v>
      </c>
      <c r="AP37" s="226">
        <f>IF($I$13="",0,VLOOKUP($I$13,FCS!$A$2:$AC$100,12,0))</f>
        <v>0</v>
      </c>
      <c r="AQ37" s="226">
        <f>IF($I$13="",0,VLOOKUP($I$13,FCS!$A$2:$AC$100,13,0))</f>
        <v>0</v>
      </c>
      <c r="AR37" s="226">
        <f>IF($I$13="",0,VLOOKUP($I$13,FCS!$A$2:$AC$100,14,0))</f>
        <v>0</v>
      </c>
      <c r="AS37" s="226">
        <f>IF($I$13="",0,100-AE37-AF37-AG37-AH37-AI37)</f>
        <v>0</v>
      </c>
      <c r="AT37" s="226"/>
      <c r="AU37" s="226"/>
      <c r="AV37" s="226"/>
      <c r="BI37" s="226" t="s">
        <v>673</v>
      </c>
      <c r="BJ37" s="226" t="e">
        <f>$BM$20</f>
        <v>#N/A</v>
      </c>
      <c r="BY37" s="255" t="s">
        <v>558</v>
      </c>
      <c r="BZ37" s="256">
        <v>1</v>
      </c>
      <c r="CA37" s="256">
        <v>1</v>
      </c>
      <c r="CB37" s="256">
        <v>0</v>
      </c>
      <c r="DH37" s="226">
        <f>HLS!$A36</f>
        <v>0</v>
      </c>
      <c r="DI37" s="226">
        <f>LGS!$A36</f>
        <v>0</v>
      </c>
      <c r="DJ37" s="226">
        <f>FCS!$A36</f>
        <v>0</v>
      </c>
      <c r="DK37" s="226" t="str">
        <f>VDS!$A36</f>
        <v>Veau, collier - CRU</v>
      </c>
      <c r="DL37" s="251"/>
      <c r="DM37" s="226">
        <f>'OPT1'!$A36</f>
        <v>0</v>
      </c>
      <c r="DN37" s="226">
        <f>'OPT2'!$A36</f>
        <v>0</v>
      </c>
    </row>
    <row r="38" spans="1:118" ht="25.2" customHeight="1">
      <c r="A38" s="34"/>
      <c r="B38" s="117"/>
      <c r="C38" s="11"/>
      <c r="D38" s="11"/>
      <c r="E38" s="11"/>
      <c r="F38" s="11"/>
      <c r="G38" s="11"/>
      <c r="H38" s="11"/>
      <c r="I38" s="11"/>
      <c r="J38" s="11"/>
      <c r="K38" s="11"/>
      <c r="L38" s="116"/>
      <c r="M38" s="36"/>
      <c r="N38" s="36"/>
      <c r="O38" s="36"/>
      <c r="P38" s="36"/>
      <c r="Q38" s="36"/>
      <c r="R38" s="137"/>
      <c r="S38" s="140"/>
      <c r="T38" s="142" t="s">
        <v>224</v>
      </c>
      <c r="U38" s="244"/>
      <c r="Z38" s="231" t="s">
        <v>56</v>
      </c>
      <c r="AA38" s="231"/>
      <c r="AD38" s="258" t="str">
        <f>IF($I$14="","PAS D'HUILE",$I$14)</f>
        <v>PAS D'HUILE</v>
      </c>
      <c r="AE38" s="226">
        <f>IF($I$14="",0,VLOOKUP($I$14,HLS!$A$2:$AC$100,3,0))</f>
        <v>0</v>
      </c>
      <c r="AF38" s="226">
        <f>IF($I$14="",0,VLOOKUP($I$14,HLS!$A$2:$AC$100,4,0))</f>
        <v>0</v>
      </c>
      <c r="AG38" s="226">
        <f>IF($I$14="",0,VLOOKUP($I$14,HLS!$A$2:$AC$100,5,0))</f>
        <v>0</v>
      </c>
      <c r="AH38" s="226">
        <f>IF($I$14="",0,VLOOKUP($I$14,HLS!$A$2:$AC$100,6,0))</f>
        <v>0</v>
      </c>
      <c r="AI38" s="226">
        <f>IF($I$14="",0,VLOOKUP($I$14,HLS!$A$2:$AC$100,7,0))</f>
        <v>0</v>
      </c>
      <c r="AJ38" s="226">
        <f>IF($I$14="",0,VLOOKUP($I$14,HLS!$A$2:$AC$100,8,0)/1000)</f>
        <v>0</v>
      </c>
      <c r="AK38" s="226">
        <f>IF($I$14="",0,VLOOKUP($I$14,HLS!$A$2:$AC$100,9,0)/1000)</f>
        <v>0</v>
      </c>
      <c r="AL38" s="226">
        <f>IF($I$14="",0,VLOOKUP($I$14,HLS!$A$2:$AC$100,8,0)/1000)</f>
        <v>0</v>
      </c>
      <c r="AM38" s="226">
        <f>IF($I$14="",0,VLOOKUP($I$14,HLS!$A$2:$AC$100,9,0)/1000)</f>
        <v>0</v>
      </c>
      <c r="AN38" s="226">
        <f>IF($I$14="",0,VLOOKUP($I$14,HLS!$A$2:$AC$100,10,0))</f>
        <v>0</v>
      </c>
      <c r="AO38" s="226">
        <f>IF($I$14="",0,VLOOKUP($I$14,HLS!$A$2:$AC$100,11,0))</f>
        <v>0</v>
      </c>
      <c r="AP38" s="226">
        <f>IF($I$14="",0,VLOOKUP($I$14,HLS!$A$2:$AC$100,12,0))</f>
        <v>0</v>
      </c>
      <c r="AQ38" s="226">
        <f>IF($I$14="",0,VLOOKUP($I$14,HLS!$A$2:$AC$100,13,0))</f>
        <v>0</v>
      </c>
      <c r="AR38" s="226">
        <f>IF($I$14="",0,VLOOKUP($I$14,HLS!$A$2:$AC$100,14,0))</f>
        <v>0</v>
      </c>
      <c r="AS38" s="226">
        <f>IF($I$14="",0,100-AE38-AF38-AG38-AH38-AI38)</f>
        <v>0</v>
      </c>
      <c r="AT38" s="226"/>
      <c r="AU38" s="226"/>
      <c r="AV38" s="226"/>
      <c r="BI38" s="226" t="s">
        <v>674</v>
      </c>
      <c r="BJ38" s="226" t="e">
        <f>$AQ$52</f>
        <v>#N/A</v>
      </c>
      <c r="BP38" s="242" t="s">
        <v>233</v>
      </c>
      <c r="BQ38" s="238"/>
      <c r="BR38" s="238"/>
      <c r="BS38" s="238"/>
      <c r="BT38" s="238"/>
      <c r="BU38" s="238"/>
      <c r="BY38" s="255" t="s">
        <v>559</v>
      </c>
      <c r="BZ38" s="256">
        <v>1</v>
      </c>
      <c r="CA38" s="256">
        <v>0.5</v>
      </c>
      <c r="CB38" s="256">
        <v>0</v>
      </c>
      <c r="DH38" s="226">
        <f>HLS!$A37</f>
        <v>0</v>
      </c>
      <c r="DI38" s="226">
        <f>LGS!$A37</f>
        <v>0</v>
      </c>
      <c r="DJ38" s="226">
        <f>FCS!$A37</f>
        <v>0</v>
      </c>
      <c r="DK38" s="226" t="str">
        <f>VDS!$A37</f>
        <v>Veau, collier - CUIT</v>
      </c>
      <c r="DL38" s="251"/>
      <c r="DM38" s="226">
        <f>'OPT1'!$A37</f>
        <v>0</v>
      </c>
      <c r="DN38" s="226">
        <f>'OPT2'!$A37</f>
        <v>0</v>
      </c>
    </row>
    <row r="39" spans="1:118" ht="25.2" customHeight="1">
      <c r="A39" s="34"/>
      <c r="B39" s="117"/>
      <c r="C39" s="11"/>
      <c r="D39" s="11"/>
      <c r="E39" s="118"/>
      <c r="F39" s="133" t="s">
        <v>948</v>
      </c>
      <c r="G39" s="118"/>
      <c r="H39" s="118"/>
      <c r="I39" s="118"/>
      <c r="J39" s="118"/>
      <c r="K39" s="118"/>
      <c r="L39" s="119"/>
      <c r="M39" s="36"/>
      <c r="N39" s="36"/>
      <c r="O39" s="36"/>
      <c r="P39" s="36"/>
      <c r="Q39" s="36"/>
      <c r="R39" s="137"/>
      <c r="S39" s="140"/>
      <c r="T39" s="142" t="s">
        <v>926</v>
      </c>
      <c r="U39" s="244"/>
      <c r="Z39" s="239" t="s">
        <v>933</v>
      </c>
      <c r="AA39" s="239">
        <f>IF(ISNUMBER($C$15),IF($C$15&gt;0,1,0),0)</f>
        <v>0</v>
      </c>
      <c r="AB39" s="239"/>
      <c r="AD39" s="226" t="s">
        <v>14</v>
      </c>
      <c r="AE39" s="226" t="e">
        <f>($AZ$18*AE$35/100)+($W$24*AE$36/100)+($W$25*AE$37/100)+($W$26*AE$38/100)+($W$27*AE$34/100)+($W$58*$AE$33/100)+($W$64*$AE$32/100)</f>
        <v>#VALUE!</v>
      </c>
      <c r="AF39" s="226" t="e">
        <f>($AZ$18*AF$35/100)+($W$24*AF$36/100)+($W$25*AF$37/100)+($W$26*AF$38/100)+($W$27*AF$34/100)+($W$58*$AF$33/100)+($W$64*$AF$32/100)</f>
        <v>#VALUE!</v>
      </c>
      <c r="AG39" s="226" t="e">
        <f>($AZ$18*AG$35/100)+($W$24*AG$36/100)+($W$25*AG$37/100)+($W$26*AG$38/100)+($W$27*AG$34/100)+($W$58*$AG$33/100)+($W$64*$AG$32/100)</f>
        <v>#VALUE!</v>
      </c>
      <c r="AH39" s="226" t="e">
        <f>($AZ$18*AH$35/100)+($W$24*AH$36/100)+($W$25*AH$37/100)+($W$26*AH$38/100)+($W$27*AH$34/100)+($W$58*$AH$33/100)+($W$64*$AH$32/100)</f>
        <v>#VALUE!</v>
      </c>
      <c r="AI39" s="226" t="e">
        <f>($AZ$18*AI$35/100)+($W$24*AI$36/100)+($W$25*AI$37/100)+($W$26*AI$38/100)+($W$27*AI$34/100)+($W$58*$AI$33/100)+($W$64*$AI$32/100)</f>
        <v>#VALUE!</v>
      </c>
      <c r="AJ39" s="226" t="e">
        <f>($AZ$18*AJ$35/100)+($W$24*AJ$36/100)+($W$25*AJ$37/100)+($W$26*AJ$38/100)+($W$27*AJ$34/100)+($W$58*$AJ$33/100)+($W$64*$AJ$32/100)</f>
        <v>#VALUE!</v>
      </c>
      <c r="AK39" s="226" t="e">
        <f>($AZ$18*AK$35/100)+($W$24*AK$36/100)+($W$25*AK$37/100)+($W$26*AK$38/100)+($W$27*AK$34/100)+($W$58*$AK$33/100)+($W$64*$AK$32/100)</f>
        <v>#VALUE!</v>
      </c>
      <c r="AL39" s="226" t="e">
        <f>($AZ$18*AL$35/100)+($W$24*AL$36/100)+($W$25*AL$37/100)+($W$26*AL$38/100)+($W$58*$AL$33/100)+($W$64*$AL$32/100)</f>
        <v>#VALUE!</v>
      </c>
      <c r="AM39" s="226" t="e">
        <f>($AZ$18*AM$35/100)+($W$24*AM$36/100)+($W$25*AM$37/100)+($W$26*AM$38/100)+($W$58*$AM$33/100)+($W$64*$AM$32/100)</f>
        <v>#VALUE!</v>
      </c>
      <c r="AN39" s="226" t="e">
        <f>($AZ$18*AN$35/100)+($W$24*AN$36/100)+($W$25*AN$37/100)+($W$26*AN$38/100)+($W$58*$AN$33/100)+($W$64*$AN$32/100)</f>
        <v>#VALUE!</v>
      </c>
      <c r="AO39" s="226" t="e">
        <f>($AZ$18*AO$35/100)+($W$24*AO$36/100)+($W$25*AO$37/100)+($W$26*AO$38/100)+($W$58*$AO$33/100)+($W$64*$AO$32/100)</f>
        <v>#VALUE!</v>
      </c>
      <c r="AP39" s="226" t="e">
        <f>($AZ$18*AP$35/100)+($W$24*AP$36/100)+($W$25*AP$37/100)+($W$26*AP$38/100)+($W$58*$AP$33/100)+($W$64*$AP$32/100)</f>
        <v>#VALUE!</v>
      </c>
      <c r="AQ39" s="226" t="e">
        <f>($AZ$18*AQ$35/100)+($W$24*AQ$36/100)+($W$25*AQ$37/100)+($W$26*AQ$38/100)+($W$58*$AQ$33/100)+($W$64*$AQ$32/100)</f>
        <v>#VALUE!</v>
      </c>
      <c r="AR39" s="226" t="e">
        <f>($AZ$18*AR$35/100)+($W$24*AR$36/100)+($W$25*AR$37/100)+($W$26*AR$38/100)+($W$58*$AR$33/100)+($W$64*$AR$32/100)</f>
        <v>#VALUE!</v>
      </c>
      <c r="AS39" s="226" t="e">
        <f>($AZ$18*AS$35/100)+($W$24*AS$36/100)+($W$25*AS$37/100)+($W$58*$AS$33/100)+($W$64*$AS$32/100)+($W$27*$AS$34/100)+($W$26*$AS$38/100)</f>
        <v>#VALUE!</v>
      </c>
      <c r="AT39" s="226"/>
      <c r="AU39" s="226"/>
      <c r="AV39" s="226"/>
      <c r="BI39" s="226" t="s">
        <v>675</v>
      </c>
      <c r="BJ39" s="226" t="e">
        <f>$AQ$49</f>
        <v>#N/A</v>
      </c>
      <c r="BP39" s="238"/>
      <c r="BQ39" s="238"/>
      <c r="BR39" s="238"/>
      <c r="BS39" s="238"/>
      <c r="BT39" s="238"/>
      <c r="BU39" s="238"/>
      <c r="BY39" s="255" t="s">
        <v>350</v>
      </c>
      <c r="BZ39" s="256">
        <v>1</v>
      </c>
      <c r="CA39" s="256">
        <v>1</v>
      </c>
      <c r="CB39" s="256">
        <v>0</v>
      </c>
      <c r="CD39" s="231" t="s">
        <v>50</v>
      </c>
      <c r="CE39" s="231"/>
      <c r="CF39" s="226" t="s">
        <v>153</v>
      </c>
      <c r="CG39" s="226" t="s">
        <v>154</v>
      </c>
      <c r="CI39" s="231" t="s">
        <v>71</v>
      </c>
      <c r="CJ39" s="231"/>
      <c r="CK39" s="226" t="s">
        <v>155</v>
      </c>
      <c r="CL39" s="226" t="s">
        <v>156</v>
      </c>
      <c r="DH39" s="226">
        <f>HLS!$A38</f>
        <v>0</v>
      </c>
      <c r="DI39" s="226">
        <f>LGS!$A38</f>
        <v>0</v>
      </c>
      <c r="DJ39" s="226">
        <f>FCS!$A38</f>
        <v>0</v>
      </c>
      <c r="DK39" s="226" t="str">
        <f>VDS!$A38</f>
        <v>Veau, escalope - CRUE</v>
      </c>
      <c r="DL39" s="251"/>
      <c r="DM39" s="226">
        <f>'OPT1'!$A38</f>
        <v>0</v>
      </c>
      <c r="DN39" s="226">
        <f>'OPT2'!$A38</f>
        <v>0</v>
      </c>
    </row>
    <row r="40" spans="1:118" ht="25.2" customHeight="1">
      <c r="A40" s="34"/>
      <c r="B40" s="120"/>
      <c r="E40" s="121"/>
      <c r="F40" s="135" t="s">
        <v>897</v>
      </c>
      <c r="G40" s="2"/>
      <c r="H40" s="2"/>
      <c r="I40" s="2"/>
      <c r="J40" s="2"/>
      <c r="K40" s="155" t="s">
        <v>951</v>
      </c>
      <c r="L40" s="156"/>
      <c r="M40" s="36"/>
      <c r="N40" s="36"/>
      <c r="O40" s="36"/>
      <c r="P40" s="36"/>
      <c r="Q40" s="36"/>
      <c r="R40" s="137"/>
      <c r="S40" s="143"/>
      <c r="T40" s="144" t="s">
        <v>890</v>
      </c>
      <c r="U40" s="244"/>
      <c r="W40" s="240" t="s">
        <v>78</v>
      </c>
      <c r="X40" s="238"/>
      <c r="Z40" s="239" t="s">
        <v>934</v>
      </c>
      <c r="AA40" s="239">
        <f>IF($C$19&gt;0,1,0)</f>
        <v>0</v>
      </c>
      <c r="AB40" s="239"/>
      <c r="AD40" s="226" t="s">
        <v>38</v>
      </c>
      <c r="AE40" s="226" t="e">
        <f>($AZ$18*AE$35/100)+($W$58*$AE$33/100)+($W$64*$AE$32/100)</f>
        <v>#VALUE!</v>
      </c>
      <c r="AI40" s="231" t="s">
        <v>27</v>
      </c>
      <c r="AJ40" s="281" t="e">
        <f>ROUND($AJ$39/$AK$39,2)</f>
        <v>#VALUE!</v>
      </c>
      <c r="AK40" s="281"/>
      <c r="AL40" s="281" t="e">
        <f>ROUND($AL$39/$AM$39,2)</f>
        <v>#VALUE!</v>
      </c>
      <c r="AM40" s="281"/>
      <c r="AO40" s="226" t="e">
        <f>IF(AG39=0,0,AO39*100/AG39)</f>
        <v>#VALUE!</v>
      </c>
      <c r="AP40" s="226" t="e">
        <f>IF(AQ39&gt;0,AP39/AQ39,0)</f>
        <v>#VALUE!</v>
      </c>
      <c r="AQ40" s="226" t="s">
        <v>55</v>
      </c>
      <c r="AR40" s="226" t="e">
        <f>IF(AR39&gt;0,AQ39/AR39,0)</f>
        <v>#VALUE!</v>
      </c>
      <c r="AS40" s="226"/>
      <c r="AT40" s="226"/>
      <c r="AU40" s="226"/>
      <c r="AV40" s="226"/>
      <c r="BI40" s="242" t="s">
        <v>676</v>
      </c>
      <c r="BJ40" s="242"/>
      <c r="BY40" s="255" t="s">
        <v>560</v>
      </c>
      <c r="BZ40" s="256">
        <v>1</v>
      </c>
      <c r="CA40" s="256">
        <v>1</v>
      </c>
      <c r="CB40" s="256">
        <v>0</v>
      </c>
      <c r="CD40" s="239" t="s">
        <v>363</v>
      </c>
      <c r="CE40" s="226">
        <v>1</v>
      </c>
      <c r="CF40" s="226">
        <v>0</v>
      </c>
      <c r="CG40" s="226">
        <v>0</v>
      </c>
      <c r="CI40" s="239" t="s">
        <v>45</v>
      </c>
      <c r="CJ40" s="226">
        <v>1</v>
      </c>
      <c r="CK40" s="226">
        <v>0</v>
      </c>
      <c r="CL40" s="226">
        <v>0</v>
      </c>
      <c r="DH40" s="226">
        <f>HLS!$A39</f>
        <v>0</v>
      </c>
      <c r="DI40" s="226">
        <f>LGS!$A39</f>
        <v>0</v>
      </c>
      <c r="DJ40" s="226">
        <f>FCS!$A39</f>
        <v>0</v>
      </c>
      <c r="DK40" s="226" t="str">
        <f>VDS!$A39</f>
        <v>Veau, escalope - CUITE</v>
      </c>
      <c r="DL40" s="251"/>
      <c r="DM40" s="226">
        <f>'OPT1'!$A39</f>
        <v>0</v>
      </c>
      <c r="DN40" s="226">
        <f>'OPT2'!$A39</f>
        <v>0</v>
      </c>
    </row>
    <row r="41" spans="1:118" ht="25.2" customHeight="1">
      <c r="A41" s="34"/>
      <c r="B41" s="120"/>
      <c r="E41" s="121"/>
      <c r="F41" s="135" t="s">
        <v>898</v>
      </c>
      <c r="G41" s="2"/>
      <c r="H41" s="2"/>
      <c r="I41" s="2"/>
      <c r="J41" s="2"/>
      <c r="K41" s="122"/>
      <c r="L41" s="123"/>
      <c r="M41" s="36"/>
      <c r="N41" s="36"/>
      <c r="O41" s="36"/>
      <c r="P41" s="36"/>
      <c r="Q41" s="36"/>
      <c r="R41" s="137"/>
      <c r="S41" s="143"/>
      <c r="T41" s="142"/>
      <c r="U41" s="244"/>
      <c r="W41" s="238"/>
      <c r="X41" s="238"/>
      <c r="Z41" s="239" t="s">
        <v>628</v>
      </c>
      <c r="AA41" s="239">
        <f>IF($C$20&gt;0,1,0)</f>
        <v>0</v>
      </c>
      <c r="AB41" s="239"/>
      <c r="AD41" s="226" t="s">
        <v>39</v>
      </c>
      <c r="AE41" s="226" t="e">
        <f>($W$24*AE$36/100)+($W$25*AE$37/100)+($W$26*AE$38/100)+($W$27*AE$34/100)</f>
        <v>#N/A</v>
      </c>
      <c r="AF41" s="269" t="str">
        <f>"----&gt;"</f>
        <v>----&gt;</v>
      </c>
      <c r="AG41" s="226" t="s">
        <v>110</v>
      </c>
      <c r="AI41" s="238"/>
      <c r="AJ41" s="231" t="s">
        <v>70</v>
      </c>
      <c r="AK41" s="231"/>
      <c r="AL41" s="231" t="s">
        <v>69</v>
      </c>
      <c r="AM41" s="231"/>
      <c r="AO41" s="226" t="s">
        <v>42</v>
      </c>
      <c r="AP41" s="226" t="s">
        <v>111</v>
      </c>
      <c r="AQ41" s="282"/>
      <c r="AT41" s="226"/>
      <c r="AW41" s="247"/>
      <c r="BP41" s="242" t="s">
        <v>167</v>
      </c>
      <c r="BQ41" s="238"/>
      <c r="BR41" s="238"/>
      <c r="BS41" s="238"/>
      <c r="BT41" s="238"/>
      <c r="BU41" s="238"/>
      <c r="BY41" s="255" t="s">
        <v>561</v>
      </c>
      <c r="BZ41" s="256">
        <v>1.1000000000000001</v>
      </c>
      <c r="CA41" s="256">
        <v>0</v>
      </c>
      <c r="CB41" s="256">
        <v>0</v>
      </c>
      <c r="CD41" s="239" t="s">
        <v>364</v>
      </c>
      <c r="CE41" s="226">
        <v>0.9</v>
      </c>
      <c r="CF41" s="226">
        <v>0.5</v>
      </c>
      <c r="CG41" s="226">
        <v>-1</v>
      </c>
      <c r="CI41" s="239" t="s">
        <v>46</v>
      </c>
      <c r="CJ41" s="226">
        <v>0.8</v>
      </c>
      <c r="CK41" s="226">
        <v>0</v>
      </c>
      <c r="CL41" s="226">
        <v>0</v>
      </c>
      <c r="DH41" s="226">
        <f>HLS!$A40</f>
        <v>0</v>
      </c>
      <c r="DI41" s="226">
        <f>LGS!$A40</f>
        <v>0</v>
      </c>
      <c r="DJ41" s="226">
        <f>FCS!$A40</f>
        <v>0</v>
      </c>
      <c r="DK41" s="226" t="str">
        <f>VDS!$A40</f>
        <v>Pavé de cabillaud - CUIT</v>
      </c>
      <c r="DL41" s="251"/>
      <c r="DM41" s="226">
        <f>'OPT1'!$A40</f>
        <v>0</v>
      </c>
      <c r="DN41" s="226">
        <f>'OPT2'!$A40</f>
        <v>0</v>
      </c>
    </row>
    <row r="42" spans="1:118" ht="25.2" customHeight="1">
      <c r="A42" s="34"/>
      <c r="B42" s="120"/>
      <c r="E42" s="124"/>
      <c r="F42" s="135" t="s">
        <v>899</v>
      </c>
      <c r="G42" s="2"/>
      <c r="H42" s="2"/>
      <c r="I42" s="2"/>
      <c r="J42" s="2"/>
      <c r="K42" s="2"/>
      <c r="L42" s="123"/>
      <c r="M42" s="36"/>
      <c r="N42" s="36"/>
      <c r="O42" s="36"/>
      <c r="P42" s="36"/>
      <c r="Q42" s="36"/>
      <c r="R42" s="137"/>
      <c r="S42" s="143"/>
      <c r="T42" s="142" t="s">
        <v>226</v>
      </c>
      <c r="U42" s="244"/>
      <c r="W42" s="238"/>
      <c r="X42" s="238"/>
      <c r="Z42" s="239" t="s">
        <v>935</v>
      </c>
      <c r="AA42" s="239">
        <f>IF($AJ$11=1,1,IF($C$21&gt;0,1,0))</f>
        <v>0</v>
      </c>
      <c r="AB42" s="239"/>
      <c r="AD42" s="226" t="s">
        <v>40</v>
      </c>
      <c r="AE42" s="226" t="e">
        <f>AE40*100/AE39</f>
        <v>#VALUE!</v>
      </c>
      <c r="AG42" s="226" t="e">
        <f>AE40+AE41</f>
        <v>#VALUE!</v>
      </c>
      <c r="AQ42" s="229"/>
      <c r="AT42" s="226"/>
      <c r="AW42" s="226"/>
      <c r="AX42" s="226"/>
      <c r="BP42" s="239" t="str">
        <f>CMV!$A$10</f>
        <v>Vit'i5 Orange (pot 600g)</v>
      </c>
      <c r="BQ42" s="283"/>
      <c r="BR42" s="283"/>
      <c r="BS42" s="283"/>
      <c r="BT42" s="283"/>
      <c r="BU42" s="283"/>
      <c r="BY42" s="255" t="s">
        <v>562</v>
      </c>
      <c r="BZ42" s="256">
        <v>1</v>
      </c>
      <c r="CA42" s="256">
        <v>1</v>
      </c>
      <c r="CB42" s="256">
        <v>0</v>
      </c>
      <c r="CD42" s="239" t="s">
        <v>365</v>
      </c>
      <c r="CE42" s="226">
        <v>0.8</v>
      </c>
      <c r="CF42" s="226">
        <v>1</v>
      </c>
      <c r="CG42" s="226">
        <v>-2</v>
      </c>
      <c r="CI42" s="239" t="s">
        <v>47</v>
      </c>
      <c r="CJ42" s="226">
        <v>0.8</v>
      </c>
      <c r="CK42" s="226">
        <v>0</v>
      </c>
      <c r="CL42" s="226">
        <v>0</v>
      </c>
      <c r="DH42" s="226">
        <f>HLS!$A41</f>
        <v>0</v>
      </c>
      <c r="DI42" s="226">
        <f>LGS!$A41</f>
        <v>0</v>
      </c>
      <c r="DJ42" s="226">
        <f>FCS!$A41</f>
        <v>0</v>
      </c>
      <c r="DK42" s="226" t="str">
        <f>VDS!$A41</f>
        <v>Pavé de colin - CUIT</v>
      </c>
      <c r="DL42" s="251"/>
      <c r="DM42" s="226">
        <f>'OPT1'!$A41</f>
        <v>0</v>
      </c>
      <c r="DN42" s="226">
        <f>'OPT2'!$A41</f>
        <v>0</v>
      </c>
    </row>
    <row r="43" spans="1:118" ht="25.2" customHeight="1">
      <c r="A43" s="34"/>
      <c r="B43" s="120"/>
      <c r="E43" s="2"/>
      <c r="F43" s="134"/>
      <c r="G43" s="2"/>
      <c r="H43" s="2"/>
      <c r="I43" s="2"/>
      <c r="J43" s="2"/>
      <c r="K43" s="2"/>
      <c r="L43" s="123"/>
      <c r="M43" s="36"/>
      <c r="N43" s="36"/>
      <c r="O43" s="36"/>
      <c r="P43" s="36"/>
      <c r="Q43" s="36"/>
      <c r="R43" s="137"/>
      <c r="S43" s="143"/>
      <c r="T43" s="142" t="s">
        <v>227</v>
      </c>
      <c r="U43" s="244"/>
      <c r="Z43" s="239" t="s">
        <v>936</v>
      </c>
      <c r="AA43" s="239">
        <f>IF($C$22&gt;0,1,0)</f>
        <v>0</v>
      </c>
      <c r="AB43" s="239"/>
      <c r="AD43" s="226" t="s">
        <v>41</v>
      </c>
      <c r="AE43" s="226" t="e">
        <f>AE41*100/AE39</f>
        <v>#N/A</v>
      </c>
      <c r="AF43" s="269" t="str">
        <f>"----&gt;"</f>
        <v>----&gt;</v>
      </c>
      <c r="AG43" s="226" t="e">
        <f>AE42+AE43</f>
        <v>#VALUE!</v>
      </c>
      <c r="AI43" s="231" t="s">
        <v>164</v>
      </c>
      <c r="AJ43" s="231"/>
      <c r="AK43" s="226"/>
      <c r="AT43" s="226"/>
      <c r="AW43" s="226"/>
      <c r="AX43" s="226"/>
      <c r="BP43" s="239" t="str">
        <f>CMV!$A$13</f>
        <v>Vit'i5 Orange (pot 250g)</v>
      </c>
      <c r="BQ43" s="283"/>
      <c r="BR43" s="283"/>
      <c r="BS43" s="283"/>
      <c r="BT43" s="283"/>
      <c r="BU43" s="283"/>
      <c r="BY43" s="255" t="s">
        <v>563</v>
      </c>
      <c r="BZ43" s="256">
        <v>1</v>
      </c>
      <c r="CA43" s="256">
        <v>0</v>
      </c>
      <c r="CB43" s="256">
        <v>0</v>
      </c>
      <c r="CD43" s="239" t="s">
        <v>366</v>
      </c>
      <c r="CE43" s="226">
        <v>1.1000000000000001</v>
      </c>
      <c r="CF43" s="226">
        <v>0</v>
      </c>
      <c r="CG43" s="226">
        <v>0.5</v>
      </c>
      <c r="CJ43" s="269"/>
      <c r="CK43" s="269"/>
      <c r="CL43" s="269"/>
      <c r="DH43" s="226">
        <f>HLS!$A42</f>
        <v>0</v>
      </c>
      <c r="DI43" s="226">
        <f>LGS!$A42</f>
        <v>0</v>
      </c>
      <c r="DJ43" s="226">
        <f>FCS!$A42</f>
        <v>0</v>
      </c>
      <c r="DK43" s="226" t="str">
        <f>VDS!$A42</f>
        <v>Pavé de saumon - CUIT</v>
      </c>
      <c r="DL43" s="251"/>
      <c r="DM43" s="226">
        <f>'OPT1'!$A42</f>
        <v>0</v>
      </c>
      <c r="DN43" s="226">
        <f>'OPT2'!$A42</f>
        <v>0</v>
      </c>
    </row>
    <row r="44" spans="1:118" ht="25.2" customHeight="1">
      <c r="A44" s="34"/>
      <c r="B44" s="120"/>
      <c r="E44" s="121"/>
      <c r="F44" s="135" t="s">
        <v>949</v>
      </c>
      <c r="G44" s="2"/>
      <c r="H44" s="2"/>
      <c r="I44" s="2"/>
      <c r="J44" s="2"/>
      <c r="K44" s="2"/>
      <c r="L44" s="123"/>
      <c r="M44" s="36"/>
      <c r="N44" s="36"/>
      <c r="O44" s="36"/>
      <c r="P44" s="36"/>
      <c r="Q44" s="36"/>
      <c r="R44" s="137"/>
      <c r="S44" s="143"/>
      <c r="T44" s="142" t="s">
        <v>228</v>
      </c>
      <c r="U44" s="244"/>
      <c r="W44" s="231" t="s">
        <v>136</v>
      </c>
      <c r="X44" s="231"/>
      <c r="Z44" s="239" t="s">
        <v>937</v>
      </c>
      <c r="AA44" s="239">
        <f>IF($AJ$11=1,1,IF($C$23&gt;0,1,0))</f>
        <v>0</v>
      </c>
      <c r="AB44" s="239"/>
      <c r="AI44" s="231" t="e">
        <f>ROUND(AS39*100/($AS$39+$AE$39+$AF$39+$AG$39+$AH$39+$AI$39),0)</f>
        <v>#VALUE!</v>
      </c>
      <c r="AJ44" s="231"/>
      <c r="AT44" s="226"/>
      <c r="AW44" s="226"/>
      <c r="AX44" s="226"/>
      <c r="BP44" s="239" t="str">
        <f>CMV!$A$11</f>
        <v>Vit'i5 Bleu (pot 600g pour chat agé)</v>
      </c>
      <c r="BQ44" s="239"/>
      <c r="BR44" s="239"/>
      <c r="BS44" s="239"/>
      <c r="BT44" s="239"/>
      <c r="BU44" s="239"/>
      <c r="BY44" s="255" t="s">
        <v>564</v>
      </c>
      <c r="BZ44" s="256">
        <v>1</v>
      </c>
      <c r="CA44" s="256">
        <v>1</v>
      </c>
      <c r="CB44" s="256">
        <v>0</v>
      </c>
      <c r="CD44" s="239" t="s">
        <v>367</v>
      </c>
      <c r="CE44" s="226">
        <v>1.2</v>
      </c>
      <c r="CF44" s="226">
        <v>0</v>
      </c>
      <c r="CG44" s="226">
        <v>2</v>
      </c>
      <c r="DH44" s="226">
        <f>HLS!$A43</f>
        <v>0</v>
      </c>
      <c r="DI44" s="226">
        <f>LGS!$A43</f>
        <v>0</v>
      </c>
      <c r="DJ44" s="226">
        <f>FCS!$A43</f>
        <v>0</v>
      </c>
      <c r="DK44" s="226" t="str">
        <f>VDS!$A43</f>
        <v>Filet de lieu noir - CUIT</v>
      </c>
      <c r="DL44" s="251"/>
      <c r="DM44" s="226">
        <f>'OPT1'!$A43</f>
        <v>0</v>
      </c>
      <c r="DN44" s="226">
        <f>'OPT2'!$A43</f>
        <v>0</v>
      </c>
    </row>
    <row r="45" spans="1:118" ht="25.2" customHeight="1">
      <c r="A45" s="34"/>
      <c r="B45" s="120"/>
      <c r="E45" s="121"/>
      <c r="F45" s="148" t="s">
        <v>950</v>
      </c>
      <c r="G45" s="2"/>
      <c r="H45" s="2"/>
      <c r="I45" s="2"/>
      <c r="J45" s="2"/>
      <c r="K45" s="2"/>
      <c r="L45" s="123"/>
      <c r="M45" s="36"/>
      <c r="N45" s="36"/>
      <c r="O45" s="36"/>
      <c r="P45" s="36"/>
      <c r="Q45" s="36"/>
      <c r="R45" s="137"/>
      <c r="S45" s="143"/>
      <c r="T45" s="142" t="s">
        <v>927</v>
      </c>
      <c r="U45" s="244"/>
      <c r="W45" s="229" t="s">
        <v>137</v>
      </c>
      <c r="X45" s="284">
        <f>$AA$47+$AA$49</f>
        <v>0</v>
      </c>
      <c r="Z45" s="239" t="s">
        <v>938</v>
      </c>
      <c r="AA45" s="239">
        <f>IF($C$24&gt;0,1,0)</f>
        <v>0</v>
      </c>
      <c r="AB45" s="239"/>
      <c r="AM45" s="242" t="s">
        <v>161</v>
      </c>
      <c r="AN45" s="231"/>
      <c r="AO45" s="231"/>
      <c r="AP45" s="231"/>
      <c r="AQ45" s="231"/>
      <c r="AR45" s="231"/>
      <c r="AS45" s="242" t="s">
        <v>502</v>
      </c>
      <c r="AT45" s="242"/>
      <c r="AW45" s="226"/>
      <c r="AX45" s="226"/>
      <c r="BP45" s="239" t="str">
        <f>CMV!$A$14</f>
        <v>Vit'i5 Bleu (pot 250g pour chat agé)</v>
      </c>
      <c r="BQ45" s="283"/>
      <c r="BR45" s="283"/>
      <c r="BS45" s="283"/>
      <c r="BT45" s="283"/>
      <c r="BU45" s="283"/>
      <c r="BY45" s="255" t="s">
        <v>565</v>
      </c>
      <c r="BZ45" s="256">
        <v>1</v>
      </c>
      <c r="CA45" s="256">
        <v>0</v>
      </c>
      <c r="CB45" s="256">
        <v>0</v>
      </c>
      <c r="CD45" s="226"/>
      <c r="CE45" s="226"/>
      <c r="DH45" s="226">
        <f>HLS!$A44</f>
        <v>0</v>
      </c>
      <c r="DI45" s="226">
        <f>LGS!$A44</f>
        <v>0</v>
      </c>
      <c r="DJ45" s="226">
        <f>FCS!$A44</f>
        <v>0</v>
      </c>
      <c r="DK45" s="226" t="str">
        <f>VDS!$A44</f>
        <v>Filet de mulet - CUIT</v>
      </c>
      <c r="DL45" s="251"/>
      <c r="DM45" s="226">
        <f>'OPT1'!$A44</f>
        <v>0</v>
      </c>
      <c r="DN45" s="226">
        <f>'OPT2'!$A44</f>
        <v>0</v>
      </c>
    </row>
    <row r="46" spans="1:118" ht="25.2" customHeight="1">
      <c r="A46" s="34"/>
      <c r="B46" s="120"/>
      <c r="E46" s="121"/>
      <c r="F46" s="135"/>
      <c r="G46" s="2"/>
      <c r="H46" s="2"/>
      <c r="I46" s="2"/>
      <c r="J46" s="2"/>
      <c r="K46" s="2"/>
      <c r="L46" s="123"/>
      <c r="M46" s="36"/>
      <c r="N46" s="36"/>
      <c r="O46" s="36"/>
      <c r="P46" s="36"/>
      <c r="Q46" s="36"/>
      <c r="R46" s="137"/>
      <c r="S46" s="143"/>
      <c r="T46" s="142" t="s">
        <v>928</v>
      </c>
      <c r="U46" s="244"/>
      <c r="W46" s="231" t="s">
        <v>61</v>
      </c>
      <c r="X46" s="231"/>
      <c r="Z46" s="239" t="s">
        <v>576</v>
      </c>
      <c r="AA46" s="239">
        <f>IF($C$25&gt;0,1,0)</f>
        <v>0</v>
      </c>
      <c r="AB46" s="239"/>
      <c r="AM46" s="226" t="s">
        <v>107</v>
      </c>
      <c r="AN46" s="226" t="e">
        <f>$Z$35</f>
        <v>#N/A</v>
      </c>
      <c r="AO46" s="226" t="e">
        <f>IF(ROUND($AE$40,2)&lt;$AN$46,1,0)</f>
        <v>#VALUE!</v>
      </c>
      <c r="AP46" s="226" t="s">
        <v>107</v>
      </c>
      <c r="AQ46" s="226" t="e">
        <f>$Z$36</f>
        <v>#N/A</v>
      </c>
      <c r="AR46" s="226" t="e">
        <f>IF(ROUND($AE$40,2)&lt;$AQ$46,1,0)</f>
        <v>#VALUE!</v>
      </c>
      <c r="AS46" s="226" t="s">
        <v>503</v>
      </c>
      <c r="AT46" s="226" t="s">
        <v>503</v>
      </c>
      <c r="AW46" s="226"/>
      <c r="AX46" s="226"/>
      <c r="BP46" s="239" t="str">
        <f>CMV!$A$12</f>
        <v>Vit'i5 Rouge (pot 600g pour ration mixte)</v>
      </c>
      <c r="BQ46" s="283"/>
      <c r="BR46" s="283"/>
      <c r="BS46" s="283"/>
      <c r="BT46" s="283"/>
      <c r="BU46" s="283"/>
      <c r="BY46" s="255" t="s">
        <v>351</v>
      </c>
      <c r="BZ46" s="256">
        <v>1</v>
      </c>
      <c r="CA46" s="256">
        <v>0</v>
      </c>
      <c r="CB46" s="256">
        <v>0</v>
      </c>
      <c r="CD46" s="226"/>
      <c r="CE46" s="226"/>
      <c r="DH46" s="226">
        <f>HLS!$A45</f>
        <v>0</v>
      </c>
      <c r="DI46" s="226">
        <f>LGS!$A45</f>
        <v>0</v>
      </c>
      <c r="DJ46" s="226">
        <f>FCS!$A45</f>
        <v>0</v>
      </c>
      <c r="DK46" s="226" t="str">
        <f>VDS!$A45</f>
        <v>Filet de maquereau - CUIT</v>
      </c>
      <c r="DL46" s="251"/>
      <c r="DM46" s="226">
        <f>'OPT1'!$A45</f>
        <v>0</v>
      </c>
      <c r="DN46" s="226">
        <f>'OPT2'!$A45</f>
        <v>0</v>
      </c>
    </row>
    <row r="47" spans="1:118" ht="25.2" customHeight="1">
      <c r="A47" s="34"/>
      <c r="B47" s="120"/>
      <c r="F47" s="2"/>
      <c r="G47" s="2"/>
      <c r="H47" s="2"/>
      <c r="I47" s="2"/>
      <c r="J47" s="2"/>
      <c r="K47" s="2"/>
      <c r="L47" s="125"/>
      <c r="M47" s="36"/>
      <c r="N47" s="36"/>
      <c r="O47" s="36"/>
      <c r="P47" s="36"/>
      <c r="Q47" s="36"/>
      <c r="R47" s="137"/>
      <c r="S47" s="143"/>
      <c r="T47" s="141"/>
      <c r="U47" s="244"/>
      <c r="W47" s="239"/>
      <c r="X47" s="284"/>
      <c r="Z47" s="239" t="s">
        <v>939</v>
      </c>
      <c r="AA47" s="239">
        <f>IF($I$7&gt;0,1,0)</f>
        <v>0</v>
      </c>
      <c r="AB47" s="226" t="s">
        <v>883</v>
      </c>
      <c r="AD47" s="242" t="s">
        <v>771</v>
      </c>
      <c r="AE47" s="242"/>
      <c r="AF47" s="242"/>
      <c r="AG47" s="242"/>
      <c r="AH47" s="242"/>
      <c r="AI47" s="242"/>
      <c r="AJ47" s="242"/>
      <c r="AM47" s="226" t="s">
        <v>394</v>
      </c>
      <c r="AN47" s="226" t="s">
        <v>395</v>
      </c>
      <c r="AO47" s="226" t="e">
        <f>$AA$55+$AO$46+$AR$46</f>
        <v>#VALUE!</v>
      </c>
      <c r="AP47" s="226" t="s">
        <v>121</v>
      </c>
      <c r="AQ47" s="226" t="e">
        <f>VLOOKUP($C$20,$CI$4:$DC$9,18,0)</f>
        <v>#N/A</v>
      </c>
      <c r="AR47" s="226" t="e">
        <f>IF($X$101&lt;1,0,IF($AK$21&lt;$AQ$47,1,0))</f>
        <v>#VALUE!</v>
      </c>
      <c r="AS47" s="226" t="s">
        <v>503</v>
      </c>
      <c r="AT47" s="226" t="e">
        <f>IF($X$101&lt;1,0,IF($AK$21&lt;($AQ$47+($AQ$47/100*$AT$54)),1,0)+$AR$47)</f>
        <v>#VALUE!</v>
      </c>
      <c r="AW47" s="226"/>
      <c r="AX47" s="226"/>
      <c r="AY47" s="226"/>
      <c r="AZ47" s="226"/>
      <c r="BA47" s="226"/>
      <c r="BB47" s="226"/>
      <c r="BC47" s="226"/>
      <c r="BD47" s="226"/>
      <c r="BE47" s="226"/>
      <c r="BP47" s="239" t="str">
        <f>CMV!$A$15</f>
        <v>Vit'i5 Rouge (pot 250g pour ration mixte)</v>
      </c>
      <c r="BQ47" s="283"/>
      <c r="BR47" s="283"/>
      <c r="BS47" s="283"/>
      <c r="BT47" s="283"/>
      <c r="BU47" s="283"/>
      <c r="BY47" s="255" t="s">
        <v>566</v>
      </c>
      <c r="BZ47" s="256">
        <v>1.2</v>
      </c>
      <c r="CA47" s="256">
        <v>0</v>
      </c>
      <c r="CB47" s="256">
        <v>0</v>
      </c>
      <c r="CD47" s="226"/>
      <c r="CE47" s="226"/>
      <c r="DH47" s="226">
        <f>HLS!$A46</f>
        <v>0</v>
      </c>
      <c r="DI47" s="226">
        <f>LGS!$A46</f>
        <v>0</v>
      </c>
      <c r="DJ47" s="226">
        <f>FCS!$A46</f>
        <v>0</v>
      </c>
      <c r="DK47" s="226" t="str">
        <f>VDS!$A46</f>
        <v>Sardine (conserve) - DEJA CUITES</v>
      </c>
      <c r="DL47" s="251"/>
      <c r="DM47" s="226">
        <f>'OPT1'!$A46</f>
        <v>0</v>
      </c>
      <c r="DN47" s="226">
        <f>'OPT2'!$A46</f>
        <v>0</v>
      </c>
    </row>
    <row r="48" spans="1:118" ht="25.2" customHeight="1" thickBot="1">
      <c r="A48" s="34"/>
      <c r="B48" s="126"/>
      <c r="C48" s="127"/>
      <c r="D48" s="127"/>
      <c r="E48" s="127"/>
      <c r="F48" s="128"/>
      <c r="G48" s="128"/>
      <c r="H48" s="128"/>
      <c r="I48" s="128"/>
      <c r="J48" s="128"/>
      <c r="K48" s="128"/>
      <c r="L48" s="129" t="str">
        <f>"Ce calculateur est optimisé pour Microsoft Excel (2007 et supérieur) mais il fonctionne également avec Apache OpenOffice et Google Sheets "</f>
        <v xml:space="preserve">Ce calculateur est optimisé pour Microsoft Excel (2007 et supérieur) mais il fonctionne également avec Apache OpenOffice et Google Sheets </v>
      </c>
      <c r="M48" s="36"/>
      <c r="N48" s="36"/>
      <c r="O48" s="36"/>
      <c r="P48" s="36"/>
      <c r="Q48" s="36"/>
      <c r="R48" s="137"/>
      <c r="S48" s="145"/>
      <c r="T48" s="146"/>
      <c r="U48" s="146"/>
      <c r="W48" s="239"/>
      <c r="X48" s="284"/>
      <c r="Z48" s="239" t="s">
        <v>57</v>
      </c>
      <c r="AA48" s="239">
        <f>IF($I$8&gt;0,1,0)</f>
        <v>0</v>
      </c>
      <c r="AB48" s="226">
        <f>IF($I$9&gt;0,0,-1)</f>
        <v>-1</v>
      </c>
      <c r="AD48" s="242"/>
      <c r="AE48" s="231"/>
      <c r="AG48" s="242"/>
      <c r="AH48" s="238"/>
      <c r="AI48" s="238"/>
      <c r="AJ48" s="238"/>
      <c r="AM48" s="226" t="s">
        <v>112</v>
      </c>
      <c r="AN48" s="226" t="e">
        <f>VLOOKUP($C$20,$CI$4:$DC$9,10,0)</f>
        <v>#N/A</v>
      </c>
      <c r="AO48" s="226" t="e">
        <f>IF(ROUND((100*$AF$39)/SUM($AE$39:$AI$39),2)&lt;$AN$48,1,0)</f>
        <v>#VALUE!</v>
      </c>
      <c r="AP48" s="226" t="s">
        <v>106</v>
      </c>
      <c r="AQ48" s="226" t="e">
        <f>VLOOKUP($C$20,$CI$4:$DC$9,15,0)</f>
        <v>#N/A</v>
      </c>
      <c r="AR48" s="226" t="e">
        <f>IF($X$101&lt;1,0,IF($AJ$40&gt;$AQ$48,1,0))</f>
        <v>#VALUE!</v>
      </c>
      <c r="AS48" s="226" t="e">
        <f>IF(ROUND((100*$AF$39)/SUM($AE$39:$AI$39),2)&lt;($AN$48+($AN$48/100*$AT$54)),1,0)+$AO$48</f>
        <v>#VALUE!</v>
      </c>
      <c r="AT48" s="226" t="e">
        <f>IF($X$101&gt;0.5,IF($AJ$40&gt;($AQ$48-($AQ$48/100*$AT$54)),1,0)+$AR$48+IF($AJ$40&lt;1,2,0),0)</f>
        <v>#VALUE!</v>
      </c>
      <c r="AW48" s="226"/>
      <c r="AX48" s="226"/>
      <c r="AY48" s="226"/>
      <c r="AZ48" s="226"/>
      <c r="BA48" s="226"/>
      <c r="BB48" s="226"/>
      <c r="BC48" s="226"/>
      <c r="BD48" s="226"/>
      <c r="BE48" s="226"/>
      <c r="BP48" s="239" t="str">
        <f>CMV!$A$6</f>
        <v>Felini complete</v>
      </c>
      <c r="BQ48" s="283"/>
      <c r="BR48" s="283"/>
      <c r="BS48" s="283"/>
      <c r="BT48" s="283"/>
      <c r="BU48" s="283"/>
      <c r="BY48" s="255" t="s">
        <v>567</v>
      </c>
      <c r="BZ48" s="256">
        <v>1</v>
      </c>
      <c r="CA48" s="256">
        <v>0</v>
      </c>
      <c r="CB48" s="256">
        <v>0</v>
      </c>
      <c r="DH48" s="226">
        <f>HLS!$A47</f>
        <v>0</v>
      </c>
      <c r="DI48" s="226">
        <f>LGS!$A47</f>
        <v>0</v>
      </c>
      <c r="DJ48" s="226">
        <f>FCS!$A47</f>
        <v>0</v>
      </c>
      <c r="DK48" s="226" t="str">
        <f>VDS!$A47</f>
        <v>Sardines fraîches - ENTIERES</v>
      </c>
      <c r="DL48" s="251"/>
      <c r="DM48" s="226">
        <f>'OPT1'!$A47</f>
        <v>0</v>
      </c>
      <c r="DN48" s="226">
        <f>'OPT2'!$A47</f>
        <v>0</v>
      </c>
    </row>
    <row r="49" spans="1:118" ht="25.2" customHeight="1">
      <c r="A49" s="34"/>
      <c r="B49" s="130"/>
      <c r="C49" s="130"/>
      <c r="D49" s="131"/>
      <c r="E49" s="131"/>
      <c r="F49" s="131"/>
      <c r="G49" s="131"/>
      <c r="H49" s="131"/>
      <c r="I49" s="131"/>
      <c r="J49" s="131"/>
      <c r="K49" s="131"/>
      <c r="L49" s="132"/>
      <c r="M49" s="36"/>
      <c r="N49" s="36"/>
      <c r="O49" s="36"/>
      <c r="P49" s="36"/>
      <c r="Q49" s="36"/>
      <c r="R49" s="10"/>
      <c r="S49" s="10"/>
      <c r="T49" s="10"/>
      <c r="U49" s="8"/>
      <c r="W49" s="239"/>
      <c r="X49" s="284"/>
      <c r="Z49" s="239" t="s">
        <v>578</v>
      </c>
      <c r="AA49" s="239">
        <f>IF($I$11=0,IF($X$3=0,1,0),1)</f>
        <v>0</v>
      </c>
      <c r="AB49" s="239"/>
      <c r="AD49" s="242" t="s">
        <v>637</v>
      </c>
      <c r="AE49" s="279"/>
      <c r="AF49" s="247"/>
      <c r="AG49" s="247"/>
      <c r="AH49" s="247"/>
      <c r="AI49" s="242" t="s">
        <v>417</v>
      </c>
      <c r="AJ49" s="238"/>
      <c r="AM49" s="226" t="s">
        <v>113</v>
      </c>
      <c r="AN49" s="258" t="e">
        <f>VLOOKUP($C$20,$CI$4:$DC$9,9,0)+$AO$57</f>
        <v>#N/A</v>
      </c>
      <c r="AO49" s="226" t="e">
        <f>IF(ROUND((100*$AF$39)/SUM($AE$39:$AI$39),2)&gt;$AN$49,1,0)</f>
        <v>#VALUE!</v>
      </c>
      <c r="AP49" s="226" t="s">
        <v>120</v>
      </c>
      <c r="AQ49" s="226" t="e">
        <f>VLOOKUP($C$20,$CI$4:$DC$9,17,0)</f>
        <v>#N/A</v>
      </c>
      <c r="AR49" s="226" t="e">
        <f>IF($AJ$21&lt;$AQ$49,1,0)</f>
        <v>#VALUE!</v>
      </c>
      <c r="AS49" s="226" t="e">
        <f>IF(ROUND((100*$AF$39)/SUM($AE$39:$AI$39),2)&gt;($AN$49-($AN$49/100*$AT$54)),1,0)+$AO$49</f>
        <v>#VALUE!</v>
      </c>
      <c r="AT49" s="226" t="e">
        <f>IF($AJ$21&lt;($AQ$49+($AQ$49/100*$AT$54)),1,0)+$AR$49</f>
        <v>#VALUE!</v>
      </c>
      <c r="AW49" s="226"/>
      <c r="AX49" s="226"/>
      <c r="AY49" s="226"/>
      <c r="AZ49" s="226"/>
      <c r="BA49" s="226"/>
      <c r="BB49" s="226"/>
      <c r="BC49" s="226"/>
      <c r="BD49" s="226"/>
      <c r="BE49" s="226"/>
      <c r="BP49" s="239" t="str">
        <f>CMV!$A$7</f>
        <v>Felini renal</v>
      </c>
      <c r="BQ49" s="283"/>
      <c r="BR49" s="283"/>
      <c r="BS49" s="283"/>
      <c r="BT49" s="283"/>
      <c r="BU49" s="283"/>
      <c r="BY49" s="255" t="s">
        <v>568</v>
      </c>
      <c r="BZ49" s="256">
        <v>1</v>
      </c>
      <c r="CA49" s="256">
        <v>0</v>
      </c>
      <c r="CB49" s="256">
        <v>0</v>
      </c>
      <c r="DH49" s="226">
        <f>HLS!$A48</f>
        <v>0</v>
      </c>
      <c r="DI49" s="226">
        <f>LGS!$A48</f>
        <v>0</v>
      </c>
      <c r="DJ49" s="226">
        <f>FCS!$A48</f>
        <v>0</v>
      </c>
      <c r="DK49" s="226" t="str">
        <f>VDS!$A48</f>
        <v>Sprat entier - CRU</v>
      </c>
      <c r="DL49" s="251"/>
      <c r="DM49" s="226">
        <f>'OPT1'!$A48</f>
        <v>0</v>
      </c>
      <c r="DN49" s="226">
        <f>'OPT2'!$A48</f>
        <v>0</v>
      </c>
    </row>
    <row r="50" spans="1:118" ht="25.2" customHeight="1">
      <c r="A50" s="34"/>
      <c r="B50" s="33"/>
      <c r="C50" s="33"/>
      <c r="D50" s="33"/>
      <c r="E50" s="33"/>
      <c r="F50" s="33"/>
      <c r="G50" s="33"/>
      <c r="H50" s="33"/>
      <c r="I50" s="33"/>
      <c r="J50" s="33"/>
      <c r="K50" s="33"/>
      <c r="L50" s="33"/>
      <c r="M50" s="36"/>
      <c r="N50" s="36"/>
      <c r="O50" s="36"/>
      <c r="P50" s="36"/>
      <c r="Q50" s="36"/>
      <c r="R50" s="10"/>
      <c r="S50" s="10"/>
      <c r="T50" s="10"/>
      <c r="U50" s="8"/>
      <c r="W50" s="239"/>
      <c r="X50" s="284"/>
      <c r="Z50" s="239" t="s">
        <v>576</v>
      </c>
      <c r="AA50" s="239">
        <f>IF($I$12=0,IF($Y$3=0,1,0),1)</f>
        <v>0</v>
      </c>
      <c r="AB50" s="226" t="s">
        <v>973</v>
      </c>
      <c r="AD50" s="226" t="s">
        <v>1007</v>
      </c>
      <c r="AE50" s="226">
        <f>CTRL!E18</f>
        <v>20</v>
      </c>
      <c r="AF50" s="226"/>
      <c r="AG50" s="226"/>
      <c r="AH50" s="226"/>
      <c r="AI50" s="279" t="str">
        <f>CTRL!B18</f>
        <v>actif</v>
      </c>
      <c r="AJ50" s="238"/>
      <c r="AM50" s="226" t="s">
        <v>114</v>
      </c>
      <c r="AN50" s="226" t="e">
        <f>VLOOKUP($C$20,$CI$4:$DC$9,11,0)</f>
        <v>#N/A</v>
      </c>
      <c r="AO50" s="226" t="e">
        <f>IF(ROUND((100*$AG$39)/SUM($AE$39:$AI$39),2)&gt;$AN$50,1,0)</f>
        <v>#VALUE!</v>
      </c>
      <c r="AP50" s="226" t="s">
        <v>105</v>
      </c>
      <c r="AQ50" s="226" t="e">
        <f>VLOOKUP($C$20,$CI$4:$DC$9,16,0)</f>
        <v>#N/A</v>
      </c>
      <c r="AR50" s="226" t="e">
        <f>IF(ROUND($AR$40,2)&gt;$AQ$50,1,0)</f>
        <v>#VALUE!</v>
      </c>
      <c r="AS50" s="226" t="e">
        <f>IF(ROUND((100*$AG$39)/SUM($AE$39:$AI$39),2)&gt;($AN$50-($AN$50/100*$AT$54)),1,0)+$AO$50</f>
        <v>#VALUE!</v>
      </c>
      <c r="AT50" s="226" t="e">
        <f>IF(ROUND($AR$40,2)&gt;($AQ$50-($AQ$50/100*$AT$54)),1,0)+$AR$50</f>
        <v>#VALUE!</v>
      </c>
      <c r="AW50" s="226"/>
      <c r="AX50" s="226"/>
      <c r="AY50" s="226"/>
      <c r="AZ50" s="226"/>
      <c r="BA50" s="226"/>
      <c r="BB50" s="226"/>
      <c r="BC50" s="226"/>
      <c r="BD50" s="226"/>
      <c r="BE50" s="226"/>
      <c r="BP50" s="239"/>
      <c r="BQ50" s="283"/>
      <c r="BR50" s="283"/>
      <c r="BS50" s="283"/>
      <c r="BT50" s="283"/>
      <c r="BU50" s="283"/>
      <c r="BY50" s="255" t="s">
        <v>352</v>
      </c>
      <c r="BZ50" s="256">
        <v>1</v>
      </c>
      <c r="CA50" s="256">
        <v>1</v>
      </c>
      <c r="CB50" s="256">
        <v>0</v>
      </c>
      <c r="DH50" s="226">
        <f>HLS!$A49</f>
        <v>0</v>
      </c>
      <c r="DI50" s="226">
        <f>LGS!$A49</f>
        <v>0</v>
      </c>
      <c r="DJ50" s="226">
        <f>FCS!$A49</f>
        <v>0</v>
      </c>
      <c r="DK50" s="226" t="str">
        <f>VDS!$A49</f>
        <v>Joëls entier - CRU</v>
      </c>
      <c r="DL50" s="251"/>
      <c r="DM50" s="226">
        <f>'OPT1'!$A49</f>
        <v>0</v>
      </c>
      <c r="DN50" s="226">
        <f>'OPT2'!$A49</f>
        <v>0</v>
      </c>
    </row>
    <row r="51" spans="1:118" ht="25.2" customHeight="1">
      <c r="A51" s="34"/>
      <c r="B51" s="33"/>
      <c r="C51" s="33"/>
      <c r="D51" s="33"/>
      <c r="E51" s="33"/>
      <c r="F51" s="33"/>
      <c r="G51" s="33"/>
      <c r="H51" s="33"/>
      <c r="I51" s="33"/>
      <c r="J51" s="33"/>
      <c r="K51" s="33"/>
      <c r="L51" s="33"/>
      <c r="M51" s="36"/>
      <c r="N51" s="36"/>
      <c r="O51" s="36"/>
      <c r="P51" s="36"/>
      <c r="Q51" s="36"/>
      <c r="R51" s="10"/>
      <c r="S51" s="10"/>
      <c r="T51" s="10"/>
      <c r="U51" s="8"/>
      <c r="W51" s="239"/>
      <c r="X51" s="284"/>
      <c r="Z51" s="239" t="s">
        <v>579</v>
      </c>
      <c r="AA51" s="239">
        <f>IF($I$13=0,IF($Z$3=0,1,0),1)</f>
        <v>0</v>
      </c>
      <c r="AB51" s="226">
        <f>IF(SUM($AA$39:$AA$53)+$AB$48+$X$103+$Z$101=15,IF($AJ$40&lt;1,-1,0),0)</f>
        <v>0</v>
      </c>
      <c r="AD51" s="226" t="s">
        <v>629</v>
      </c>
      <c r="AE51" s="258" t="e">
        <f>$AE$50-$AQ$135</f>
        <v>#VALUE!</v>
      </c>
      <c r="AF51" s="226"/>
      <c r="AG51" s="226"/>
      <c r="AH51" s="226"/>
      <c r="AI51" s="238"/>
      <c r="AJ51" s="238"/>
      <c r="AM51" s="226" t="s">
        <v>115</v>
      </c>
      <c r="AN51" s="226" t="e">
        <f>VLOOKUP($C$20,$CI$4:$DC$9,12,0)</f>
        <v>#N/A</v>
      </c>
      <c r="AO51" s="226" t="e">
        <f>IF(ROUND((100*$AH$39)/SUM($AE$39:$AI$39),2)&gt;$AN$51,1,0)</f>
        <v>#VALUE!</v>
      </c>
      <c r="AP51" s="226" t="s">
        <v>515</v>
      </c>
      <c r="AQ51" s="226">
        <v>0</v>
      </c>
      <c r="AR51" s="226" t="e">
        <f>IF($AL$21&lt;$AQ$51,1,0)</f>
        <v>#VALUE!</v>
      </c>
      <c r="AS51" s="226" t="e">
        <f>IF(ROUND((100*$AH$39)/SUM($AE$39:$AI$39),2)&gt;($AN$51-($AN$51/100*$AT$54)),1,0)+$AO$51</f>
        <v>#VALUE!</v>
      </c>
      <c r="AT51" s="226" t="e">
        <f>IF($AL$21&lt;($AQ$51+($AQ$51/100*$AT$54)),1,0)+$AR$51</f>
        <v>#VALUE!</v>
      </c>
      <c r="AW51" s="226"/>
      <c r="AX51" s="226"/>
      <c r="AY51" s="226"/>
      <c r="AZ51" s="226"/>
      <c r="BA51" s="226"/>
      <c r="BB51" s="226"/>
      <c r="BC51" s="226"/>
      <c r="BD51" s="226"/>
      <c r="BE51" s="226"/>
      <c r="BP51" s="239"/>
      <c r="BQ51" s="283"/>
      <c r="BR51" s="283"/>
      <c r="BS51" s="283"/>
      <c r="BT51" s="283"/>
      <c r="BU51" s="283"/>
      <c r="BY51" s="255"/>
      <c r="BZ51" s="256"/>
      <c r="CA51" s="256"/>
      <c r="CB51" s="256"/>
      <c r="DH51" s="226">
        <f>HLS!$A50</f>
        <v>0</v>
      </c>
      <c r="DI51" s="226">
        <f>LGS!$A50</f>
        <v>0</v>
      </c>
      <c r="DJ51" s="226">
        <f>FCS!$A50</f>
        <v>0</v>
      </c>
      <c r="DK51" s="226" t="str">
        <f>VDS!$A50</f>
        <v>Œuf de poule, entier - BIEN CUIT</v>
      </c>
      <c r="DL51" s="251"/>
      <c r="DM51" s="226">
        <f>'OPT1'!$A50</f>
        <v>0</v>
      </c>
      <c r="DN51" s="226">
        <f>'OPT2'!$A50</f>
        <v>0</v>
      </c>
    </row>
    <row r="52" spans="1:118" ht="25.2" customHeight="1">
      <c r="A52" s="34"/>
      <c r="B52" s="33"/>
      <c r="C52" s="33"/>
      <c r="D52" s="33"/>
      <c r="E52" s="33"/>
      <c r="F52" s="33"/>
      <c r="G52" s="33"/>
      <c r="H52" s="33"/>
      <c r="I52" s="33"/>
      <c r="J52" s="33"/>
      <c r="K52" s="33"/>
      <c r="L52" s="33"/>
      <c r="M52" s="36"/>
      <c r="N52" s="36"/>
      <c r="O52" s="36"/>
      <c r="P52" s="36"/>
      <c r="Q52" s="36"/>
      <c r="R52" s="10"/>
      <c r="S52" s="10"/>
      <c r="T52" s="10"/>
      <c r="U52" s="8"/>
      <c r="W52" s="284" t="s">
        <v>60</v>
      </c>
      <c r="X52" s="284"/>
      <c r="Z52" s="239" t="s">
        <v>577</v>
      </c>
      <c r="AA52" s="239">
        <f>IF($I$14=0,IF($AA$3=0,1,0),1)</f>
        <v>0</v>
      </c>
      <c r="AB52" s="239"/>
      <c r="AD52" s="226" t="s">
        <v>660</v>
      </c>
      <c r="AE52" s="226">
        <f>$AQ$69</f>
        <v>0</v>
      </c>
      <c r="AG52" s="226"/>
      <c r="AH52" s="226"/>
      <c r="AI52" s="226"/>
      <c r="AJ52" s="258"/>
      <c r="AM52" s="226" t="s">
        <v>116</v>
      </c>
      <c r="AN52" s="226" t="e">
        <f>VLOOKUP($C$20,$CI$4:$DC$9,13,0)</f>
        <v>#N/A</v>
      </c>
      <c r="AO52" s="226" t="e">
        <f>IF(ROUND((100*$AI$39)/SUM($AE$39:$AI$39),2)&lt;$AN$52,1,0)</f>
        <v>#VALUE!</v>
      </c>
      <c r="AP52" s="226" t="s">
        <v>122</v>
      </c>
      <c r="AQ52" s="226" t="e">
        <f>VLOOKUP($C$20,$CI$4:$DC$9,19,0)</f>
        <v>#N/A</v>
      </c>
      <c r="AR52" s="226" t="e">
        <f>IF($AJ$21&gt;$AQ$52,1,0)</f>
        <v>#VALUE!</v>
      </c>
      <c r="AS52" s="226" t="e">
        <f>IF(ROUND((100*$AI$39)/SUM($AE$39:$AI$39),2)&lt;($AN$52+($AN$52/100*$AT$54)),1,0)+$AO$52</f>
        <v>#VALUE!</v>
      </c>
      <c r="AT52" s="226" t="e">
        <f>IF($AJ$21&gt;$AQ$55,1,0)+$AR$52</f>
        <v>#VALUE!</v>
      </c>
      <c r="AW52" s="226"/>
      <c r="AX52" s="226"/>
      <c r="AY52" s="226"/>
      <c r="AZ52" s="226"/>
      <c r="BA52" s="226"/>
      <c r="BB52" s="226"/>
      <c r="BC52" s="226"/>
      <c r="BD52" s="226"/>
      <c r="BE52" s="226"/>
      <c r="BP52" s="239"/>
      <c r="BQ52" s="283"/>
      <c r="BR52" s="283"/>
      <c r="BS52" s="283"/>
      <c r="BT52" s="283"/>
      <c r="BU52" s="283"/>
      <c r="BY52" s="255"/>
      <c r="BZ52" s="256"/>
      <c r="CA52" s="256"/>
      <c r="CB52" s="256"/>
      <c r="DH52" s="226">
        <f>HLS!$A51</f>
        <v>0</v>
      </c>
      <c r="DI52" s="226">
        <f>LGS!$A51</f>
        <v>0</v>
      </c>
      <c r="DJ52" s="226">
        <f>FCS!$A51</f>
        <v>0</v>
      </c>
      <c r="DK52" s="226" t="str">
        <f>VDS!$A51</f>
        <v>Œuf de poule, blanc - BIEN CUIT</v>
      </c>
      <c r="DL52" s="251"/>
      <c r="DM52" s="226">
        <f>'OPT1'!$A51</f>
        <v>0</v>
      </c>
      <c r="DN52" s="226">
        <f>'OPT2'!$A51</f>
        <v>0</v>
      </c>
    </row>
    <row r="53" spans="1:118" ht="25.2" customHeight="1">
      <c r="A53" s="34"/>
      <c r="B53" s="33"/>
      <c r="C53" s="33"/>
      <c r="D53" s="33"/>
      <c r="E53" s="33"/>
      <c r="F53" s="33"/>
      <c r="G53" s="33"/>
      <c r="H53" s="33"/>
      <c r="I53" s="33"/>
      <c r="J53" s="33"/>
      <c r="K53" s="33"/>
      <c r="L53" s="33"/>
      <c r="M53" s="36"/>
      <c r="N53" s="36"/>
      <c r="O53" s="36"/>
      <c r="P53" s="36"/>
      <c r="Q53" s="36"/>
      <c r="R53" s="10"/>
      <c r="S53" s="10"/>
      <c r="T53" s="10"/>
      <c r="U53" s="8"/>
      <c r="W53" s="284" t="s">
        <v>91</v>
      </c>
      <c r="X53" s="239"/>
      <c r="Z53" s="239" t="s">
        <v>104</v>
      </c>
      <c r="AA53" s="239">
        <f>IF($AA$16&gt;0,0,1)+$Z$63</f>
        <v>1</v>
      </c>
      <c r="AB53" s="239"/>
      <c r="AD53" s="226" t="s">
        <v>639</v>
      </c>
      <c r="AE53" s="226" t="e">
        <f>($AE$50*$AN$128/$AQ$135)-$AN$128</f>
        <v>#VALUE!</v>
      </c>
      <c r="AF53" s="226"/>
      <c r="AG53" s="226"/>
      <c r="AI53" s="261" t="s">
        <v>644</v>
      </c>
      <c r="AJ53" s="261">
        <f>2*$M$14/100</f>
        <v>0</v>
      </c>
      <c r="AM53" s="226" t="s">
        <v>117</v>
      </c>
      <c r="AN53" s="226" t="e">
        <f>VLOOKUP($C$20,$CI$4:$DC$9,14,0)</f>
        <v>#N/A</v>
      </c>
      <c r="AO53" s="226" t="e">
        <f>IF(ROUND((100*$AI$39)/SUM($AE$39:$AI$39),2)&gt;$AN$53,1,0)</f>
        <v>#VALUE!</v>
      </c>
      <c r="AP53" s="226" t="s">
        <v>923</v>
      </c>
      <c r="AQ53" s="226" t="e">
        <f>VLOOKUP($C$20,$CI$4:$DC$9,20,0)</f>
        <v>#N/A</v>
      </c>
      <c r="AR53" s="226" t="e">
        <f>IF($AK$21&gt;$AQ$53,1,0)</f>
        <v>#VALUE!</v>
      </c>
      <c r="AS53" s="226" t="e">
        <f>IF(ROUND((100*$AI$39)/SUM($AE$39:$AI$39),2)&gt;$AT$57,1,0)+$AO$53</f>
        <v>#VALUE!</v>
      </c>
      <c r="AT53" s="226" t="e">
        <f>IF($AK$21&gt;$AQ$56,1,0)+$AR$53</f>
        <v>#VALUE!</v>
      </c>
      <c r="AW53" s="226"/>
      <c r="AX53" s="226"/>
      <c r="AY53" s="226"/>
      <c r="AZ53" s="226"/>
      <c r="BA53" s="226"/>
      <c r="BB53" s="226"/>
      <c r="BC53" s="226"/>
      <c r="BD53" s="226"/>
      <c r="BE53" s="226"/>
      <c r="BP53" s="239"/>
      <c r="BQ53" s="283"/>
      <c r="BR53" s="283"/>
      <c r="BS53" s="283"/>
      <c r="BT53" s="283"/>
      <c r="BU53" s="283"/>
      <c r="BY53" s="255"/>
      <c r="BZ53" s="256"/>
      <c r="CA53" s="256"/>
      <c r="CB53" s="256"/>
      <c r="DH53" s="226">
        <f>HLS!$A52</f>
        <v>0</v>
      </c>
      <c r="DI53" s="226">
        <f>LGS!$A52</f>
        <v>0</v>
      </c>
      <c r="DJ53" s="226">
        <f>FCS!$A52</f>
        <v>0</v>
      </c>
      <c r="DK53" s="226">
        <f>VDS!$A52</f>
        <v>0</v>
      </c>
      <c r="DL53" s="251"/>
      <c r="DM53" s="226">
        <f>'OPT1'!$A52</f>
        <v>0</v>
      </c>
      <c r="DN53" s="226">
        <f>'OPT2'!$A52</f>
        <v>0</v>
      </c>
    </row>
    <row r="54" spans="1:118" ht="25.2" customHeight="1">
      <c r="A54" s="33"/>
      <c r="B54" s="33"/>
      <c r="C54" s="33"/>
      <c r="D54" s="33"/>
      <c r="E54" s="33"/>
      <c r="F54" s="33"/>
      <c r="G54" s="33"/>
      <c r="H54" s="33"/>
      <c r="I54" s="33"/>
      <c r="J54" s="33"/>
      <c r="K54" s="33"/>
      <c r="L54" s="33"/>
      <c r="M54" s="36"/>
      <c r="N54" s="36"/>
      <c r="O54" s="36"/>
      <c r="P54" s="36"/>
      <c r="Q54" s="36"/>
      <c r="R54" s="10"/>
      <c r="S54" s="10"/>
      <c r="T54" s="10"/>
      <c r="U54" s="8"/>
      <c r="W54" s="284" t="s">
        <v>90</v>
      </c>
      <c r="X54" s="284"/>
      <c r="Z54" s="284" t="s">
        <v>59</v>
      </c>
      <c r="AA54" s="284">
        <f>SUM($AA$39:$AA$46)</f>
        <v>0</v>
      </c>
      <c r="AB54" s="226" t="s">
        <v>696</v>
      </c>
      <c r="AD54" s="226" t="s">
        <v>640</v>
      </c>
      <c r="AE54" s="226" t="e">
        <f>IF(CTRL!C18&gt;0,IF(ROUNDUP($AE$53/$AF$38*100,0)&lt;0,0,ROUNDUP($AE$53/$AF$38*100,0)),0)</f>
        <v>#VALUE!</v>
      </c>
      <c r="AG54" s="226"/>
      <c r="AI54" s="261"/>
      <c r="AJ54" s="261"/>
      <c r="AM54" s="226" t="s">
        <v>431</v>
      </c>
      <c r="AN54" s="226"/>
      <c r="AO54" s="226">
        <v>0</v>
      </c>
      <c r="AP54" s="285" t="s">
        <v>124</v>
      </c>
      <c r="AQ54" s="286" t="e">
        <f>SUM($AO$48:$AO$55)+SUM($AR$46:$AR$53)</f>
        <v>#VALUE!</v>
      </c>
      <c r="AR54" s="286"/>
      <c r="AS54" s="287" t="e">
        <f>SUM($AS$48:$AS$53)+SUM($AT$47:$AT$53)</f>
        <v>#VALUE!</v>
      </c>
      <c r="AT54" s="226">
        <v>10</v>
      </c>
      <c r="AW54" s="226"/>
      <c r="AX54" s="226"/>
      <c r="AY54" s="226"/>
      <c r="AZ54" s="226"/>
      <c r="BA54" s="226"/>
      <c r="BB54" s="226"/>
      <c r="BC54" s="226"/>
      <c r="BD54" s="226"/>
      <c r="BE54" s="226"/>
      <c r="BP54" s="239"/>
      <c r="BQ54" s="283"/>
      <c r="BR54" s="283"/>
      <c r="BS54" s="283"/>
      <c r="BT54" s="283"/>
      <c r="BU54" s="283"/>
      <c r="BY54" s="255"/>
      <c r="BZ54" s="256"/>
      <c r="CA54" s="256"/>
      <c r="CB54" s="256"/>
      <c r="DH54" s="226">
        <f>HLS!$A53</f>
        <v>0</v>
      </c>
      <c r="DI54" s="226">
        <f>LGS!$A53</f>
        <v>0</v>
      </c>
      <c r="DJ54" s="226">
        <f>FCS!$A53</f>
        <v>0</v>
      </c>
      <c r="DK54" s="226">
        <f>VDS!$A53</f>
        <v>0</v>
      </c>
      <c r="DL54" s="251"/>
      <c r="DM54" s="226">
        <f>'OPT1'!$A53</f>
        <v>0</v>
      </c>
      <c r="DN54" s="226">
        <f>'OPT2'!$A53</f>
        <v>0</v>
      </c>
    </row>
    <row r="55" spans="1:118" ht="25.2" customHeight="1">
      <c r="A55" s="33"/>
      <c r="B55" s="33"/>
      <c r="C55" s="33"/>
      <c r="D55" s="33"/>
      <c r="E55" s="33"/>
      <c r="F55" s="33"/>
      <c r="G55" s="33"/>
      <c r="H55" s="33"/>
      <c r="I55" s="33"/>
      <c r="J55" s="33"/>
      <c r="K55" s="33"/>
      <c r="L55" s="33"/>
      <c r="M55" s="36"/>
      <c r="N55" s="36"/>
      <c r="O55" s="36"/>
      <c r="P55" s="36"/>
      <c r="Q55" s="36"/>
      <c r="R55" s="10"/>
      <c r="S55" s="10"/>
      <c r="T55" s="10"/>
      <c r="U55" s="8"/>
      <c r="Z55" s="284" t="s">
        <v>58</v>
      </c>
      <c r="AA55" s="284">
        <f>SUM($AA$39:$AA$53)+$AB$48+$X$103+$Z$101+$AB$51</f>
        <v>0</v>
      </c>
      <c r="AB55" s="226">
        <f>SUM($AA$49:$AA$52)</f>
        <v>0</v>
      </c>
      <c r="AD55" s="253" t="s">
        <v>642</v>
      </c>
      <c r="AE55" s="253" t="e">
        <f>ROUND(($AO$122+$AE$54)*$AJ$55/1.25,0)*1.25</f>
        <v>#VALUE!</v>
      </c>
      <c r="AF55" s="288"/>
      <c r="AG55" s="226"/>
      <c r="AH55" s="288"/>
      <c r="AI55" s="261" t="s">
        <v>646</v>
      </c>
      <c r="AJ55" s="261">
        <f>IF($BC$4=0,1,0)</f>
        <v>1</v>
      </c>
      <c r="AM55" s="226" t="s">
        <v>671</v>
      </c>
      <c r="AN55" s="226">
        <v>1</v>
      </c>
      <c r="AO55" s="226" t="e">
        <f>IF($AJ$40&lt;$AN$55,1,0)</f>
        <v>#VALUE!</v>
      </c>
      <c r="AP55" s="226" t="s">
        <v>921</v>
      </c>
      <c r="AQ55" s="226" t="e">
        <f>VLOOKUP($C$20,$CI$11:$DC$27,19,0)</f>
        <v>#N/A</v>
      </c>
      <c r="AS55" s="287">
        <f>IF($AA$55=15,IF($AQ$54&gt;0,2,IF($AS$54&gt;0,1,0)),0)</f>
        <v>0</v>
      </c>
      <c r="AT55" s="253" t="s">
        <v>504</v>
      </c>
      <c r="AW55" s="226"/>
      <c r="AX55" s="226"/>
      <c r="AY55" s="226"/>
      <c r="AZ55" s="226"/>
      <c r="BA55" s="226"/>
      <c r="BB55" s="226"/>
      <c r="BC55" s="226"/>
      <c r="BD55" s="226"/>
      <c r="BE55" s="226"/>
      <c r="BF55" s="226"/>
      <c r="BG55" s="226"/>
      <c r="BH55" s="226"/>
      <c r="BI55" s="226"/>
      <c r="BJ55" s="226"/>
      <c r="BK55" s="226"/>
      <c r="BL55" s="226"/>
      <c r="BP55" s="239"/>
      <c r="BQ55" s="239"/>
      <c r="BR55" s="239"/>
      <c r="BS55" s="239"/>
      <c r="BT55" s="239"/>
      <c r="BU55" s="239"/>
      <c r="BY55" s="255"/>
      <c r="BZ55" s="256"/>
      <c r="CA55" s="256"/>
      <c r="CB55" s="256"/>
      <c r="DH55" s="226">
        <f>HLS!$A54</f>
        <v>0</v>
      </c>
      <c r="DI55" s="226">
        <f>LGS!$A54</f>
        <v>0</v>
      </c>
      <c r="DJ55" s="226">
        <f>FCS!$A54</f>
        <v>0</v>
      </c>
      <c r="DK55" s="226" t="str">
        <f>VDS!$A54</f>
        <v>Easy-BARF poulet haché - CRU</v>
      </c>
      <c r="DL55" s="251"/>
      <c r="DM55" s="226">
        <f>'OPT1'!$A54</f>
        <v>0</v>
      </c>
      <c r="DN55" s="226">
        <f>'OPT2'!$A54</f>
        <v>0</v>
      </c>
    </row>
    <row r="56" spans="1:118" ht="25.2" customHeight="1">
      <c r="A56" s="33"/>
      <c r="B56" s="33"/>
      <c r="C56" s="33"/>
      <c r="D56" s="33"/>
      <c r="E56" s="33"/>
      <c r="F56" s="33"/>
      <c r="G56" s="33"/>
      <c r="H56" s="33"/>
      <c r="I56" s="33"/>
      <c r="J56" s="33"/>
      <c r="K56" s="33"/>
      <c r="L56" s="33"/>
      <c r="M56" s="36"/>
      <c r="N56" s="36"/>
      <c r="O56" s="36"/>
      <c r="P56" s="36"/>
      <c r="Q56" s="36"/>
      <c r="R56" s="10"/>
      <c r="S56" s="10"/>
      <c r="T56" s="10"/>
      <c r="U56" s="8"/>
      <c r="AD56" s="226" t="s">
        <v>643</v>
      </c>
      <c r="AE56" s="226" t="e">
        <f>IF($AE$55&lt;($AE$52+0.1),$AE$55,$AE$52)*$AJ$55</f>
        <v>#VALUE!</v>
      </c>
      <c r="AG56" s="226"/>
      <c r="AI56" s="269"/>
      <c r="AM56" s="229"/>
      <c r="AN56" s="229"/>
      <c r="AO56" s="229"/>
      <c r="AP56" s="226" t="s">
        <v>922</v>
      </c>
      <c r="AQ56" s="226" t="e">
        <f>VLOOKUP($C$20,$CI$11:$DC$27,20,0)</f>
        <v>#N/A</v>
      </c>
      <c r="AR56" s="229"/>
      <c r="AS56" s="229"/>
      <c r="AT56" s="253" t="s">
        <v>945</v>
      </c>
      <c r="AW56" s="226"/>
      <c r="AX56" s="226"/>
      <c r="AY56" s="226"/>
      <c r="AZ56" s="226"/>
      <c r="BA56" s="226"/>
      <c r="BB56" s="226"/>
      <c r="BC56" s="226"/>
      <c r="BD56" s="226"/>
      <c r="BE56" s="226"/>
      <c r="BF56" s="226"/>
      <c r="BG56" s="226"/>
      <c r="BH56" s="226"/>
      <c r="BI56" s="226"/>
      <c r="BJ56" s="226"/>
      <c r="BK56" s="226"/>
      <c r="BL56" s="226"/>
      <c r="BY56" s="255"/>
      <c r="BZ56" s="256"/>
      <c r="CA56" s="256"/>
      <c r="CB56" s="256"/>
      <c r="DH56" s="226">
        <f>HLS!$A55</f>
        <v>0</v>
      </c>
      <c r="DI56" s="226">
        <f>LGS!$A55</f>
        <v>0</v>
      </c>
      <c r="DJ56" s="226">
        <f>FCS!$A55</f>
        <v>0</v>
      </c>
      <c r="DK56" s="226" t="str">
        <f>VDS!$A55</f>
        <v>Easy-BARF dinde hachée - CRU</v>
      </c>
      <c r="DL56" s="251"/>
      <c r="DM56" s="226">
        <f>'OPT1'!$A55</f>
        <v>0</v>
      </c>
      <c r="DN56" s="226">
        <f>'OPT2'!$A55</f>
        <v>0</v>
      </c>
    </row>
    <row r="57" spans="1:118" ht="25.2" customHeight="1">
      <c r="A57" s="33"/>
      <c r="B57" s="33"/>
      <c r="C57" s="33"/>
      <c r="D57" s="33"/>
      <c r="E57" s="33"/>
      <c r="F57" s="33"/>
      <c r="G57" s="33"/>
      <c r="H57" s="33"/>
      <c r="I57" s="33"/>
      <c r="J57" s="33"/>
      <c r="K57" s="33"/>
      <c r="L57" s="33"/>
      <c r="M57" s="36"/>
      <c r="N57" s="36"/>
      <c r="O57" s="36"/>
      <c r="P57" s="36"/>
      <c r="Q57" s="36"/>
      <c r="R57" s="10"/>
      <c r="S57" s="10"/>
      <c r="T57" s="10"/>
      <c r="U57" s="8"/>
      <c r="W57" s="226">
        <f>IF($G$12=$DN$3,0,IF($G$12="",0,IF($G$13="",0,1)))</f>
        <v>0</v>
      </c>
      <c r="X57" s="226" t="s">
        <v>199</v>
      </c>
      <c r="Z57" s="226" t="s">
        <v>160</v>
      </c>
      <c r="AA57" s="226" t="s">
        <v>417</v>
      </c>
      <c r="AB57" s="229"/>
      <c r="AD57" s="226" t="s">
        <v>772</v>
      </c>
      <c r="AE57" s="226" t="e">
        <f>((($AE$56-$AO$122)*$M$14)/100)*$AJ$55</f>
        <v>#VALUE!</v>
      </c>
      <c r="AF57" s="226"/>
      <c r="AG57" s="226"/>
      <c r="AH57" s="226"/>
      <c r="AI57" s="226"/>
      <c r="AM57" s="226" t="s">
        <v>839</v>
      </c>
      <c r="AN57" s="226" t="e">
        <f>IF($AJ$11=1,0,VLOOKUP($C$23,$CD$40:$CG$44,4,0))*5</f>
        <v>#N/A</v>
      </c>
      <c r="AO57" s="226" t="e">
        <f>IF($AN$57&lt;0,$AN$57,0)</f>
        <v>#N/A</v>
      </c>
      <c r="AP57" s="229"/>
      <c r="AQ57" s="229"/>
      <c r="AR57" s="229"/>
      <c r="AS57" s="289"/>
      <c r="AT57" s="226">
        <v>9</v>
      </c>
      <c r="AW57" s="226"/>
      <c r="AX57" s="226"/>
      <c r="AY57" s="226"/>
      <c r="AZ57" s="226"/>
      <c r="BA57" s="226"/>
      <c r="BB57" s="226"/>
      <c r="BC57" s="226"/>
      <c r="BD57" s="226"/>
      <c r="BE57" s="226"/>
      <c r="BF57" s="226"/>
      <c r="BG57" s="226"/>
      <c r="BH57" s="226"/>
      <c r="BI57" s="226"/>
      <c r="BJ57" s="226"/>
      <c r="BK57" s="226"/>
      <c r="BL57" s="226"/>
      <c r="BY57" s="255"/>
      <c r="BZ57" s="256"/>
      <c r="CA57" s="256"/>
      <c r="CB57" s="256"/>
      <c r="DH57" s="226">
        <f>HLS!$A56</f>
        <v>0</v>
      </c>
      <c r="DI57" s="226">
        <f>LGS!$A56</f>
        <v>0</v>
      </c>
      <c r="DJ57" s="226">
        <f>FCS!$A56</f>
        <v>0</v>
      </c>
      <c r="DK57" s="226" t="str">
        <f>VDS!$A56</f>
        <v>Easy-BARF bœuf haché - CRU</v>
      </c>
      <c r="DL57" s="251"/>
      <c r="DM57" s="226">
        <f>'OPT1'!$A56</f>
        <v>0</v>
      </c>
      <c r="DN57" s="226">
        <f>'OPT2'!$A56</f>
        <v>0</v>
      </c>
    </row>
    <row r="58" spans="1:118" ht="20.149999999999999" customHeight="1">
      <c r="A58" s="33"/>
      <c r="B58" s="33"/>
      <c r="C58" s="33"/>
      <c r="D58" s="33"/>
      <c r="E58" s="33"/>
      <c r="F58" s="33"/>
      <c r="G58" s="33"/>
      <c r="H58" s="33"/>
      <c r="I58" s="33"/>
      <c r="J58" s="33"/>
      <c r="K58" s="33"/>
      <c r="L58" s="33"/>
      <c r="M58" s="36"/>
      <c r="N58" s="36"/>
      <c r="O58" s="36"/>
      <c r="P58" s="36"/>
      <c r="Q58" s="36"/>
      <c r="R58" s="10"/>
      <c r="S58" s="10"/>
      <c r="T58" s="10"/>
      <c r="U58" s="8"/>
      <c r="W58" s="226">
        <f>IF($W$57&gt;0,VLOOKUP($G$13,$X$77:$Y$85,2,0),0)</f>
        <v>0</v>
      </c>
      <c r="X58" s="226" t="s">
        <v>63</v>
      </c>
      <c r="Z58" s="226" t="s">
        <v>383</v>
      </c>
      <c r="AA58" s="231" t="str">
        <f>CTRL!B12</f>
        <v>inactif</v>
      </c>
      <c r="AB58" s="229"/>
      <c r="AD58" s="226" t="s">
        <v>661</v>
      </c>
      <c r="AE58" s="226" t="e">
        <f>ROUND(AE57*100/$M$11,0)</f>
        <v>#VALUE!</v>
      </c>
      <c r="AF58" s="267"/>
      <c r="AG58" s="226"/>
      <c r="AH58" s="267"/>
      <c r="AI58" s="226"/>
      <c r="AM58" s="229"/>
      <c r="AN58" s="229"/>
      <c r="AO58" s="229"/>
      <c r="AP58" s="229"/>
      <c r="AQ58" s="229"/>
      <c r="AR58" s="229"/>
      <c r="AS58" s="229"/>
      <c r="AT58" s="229"/>
      <c r="AW58" s="226"/>
      <c r="AX58" s="226"/>
      <c r="AY58" s="226"/>
      <c r="AZ58" s="226"/>
      <c r="BA58" s="226"/>
      <c r="BB58" s="226"/>
      <c r="BC58" s="226"/>
      <c r="BD58" s="226"/>
      <c r="BE58" s="226"/>
      <c r="BF58" s="226"/>
      <c r="BG58" s="226"/>
      <c r="BH58" s="226"/>
      <c r="BI58" s="226"/>
      <c r="BJ58" s="226"/>
      <c r="BK58" s="226"/>
      <c r="BL58" s="226"/>
      <c r="BY58" s="255"/>
      <c r="BZ58" s="256"/>
      <c r="CA58" s="256"/>
      <c r="CB58" s="256"/>
      <c r="DH58" s="226">
        <f>HLS!$A57</f>
        <v>0</v>
      </c>
      <c r="DI58" s="226">
        <f>LGS!$A57</f>
        <v>0</v>
      </c>
      <c r="DJ58" s="226">
        <f>FCS!$A57</f>
        <v>0</v>
      </c>
      <c r="DK58" s="226" t="str">
        <f>VDS!$A57</f>
        <v>Bon Instinct au canard - CRU</v>
      </c>
      <c r="DL58" s="251"/>
      <c r="DM58" s="226">
        <f>'OPT1'!$A57</f>
        <v>0</v>
      </c>
      <c r="DN58" s="226">
        <f>'OPT2'!$A57</f>
        <v>0</v>
      </c>
    </row>
    <row r="59" spans="1:118" ht="25.2" customHeight="1">
      <c r="A59" s="33"/>
      <c r="B59" s="33"/>
      <c r="C59" s="33"/>
      <c r="D59" s="33"/>
      <c r="E59" s="33"/>
      <c r="F59" s="33"/>
      <c r="G59" s="33"/>
      <c r="H59" s="33"/>
      <c r="I59" s="33"/>
      <c r="J59" s="33"/>
      <c r="K59" s="33"/>
      <c r="L59" s="33"/>
      <c r="M59" s="36"/>
      <c r="N59" s="36"/>
      <c r="O59" s="36"/>
      <c r="P59" s="36"/>
      <c r="Q59" s="36"/>
      <c r="R59" s="10"/>
      <c r="S59" s="10"/>
      <c r="T59" s="10"/>
      <c r="U59" s="8"/>
      <c r="W59" s="226">
        <f>IF($W$57&gt;0,VLOOKUP($G$12,'OPT2'!$A$2:$AC$100,2,0)*$W$58/100,0)</f>
        <v>0</v>
      </c>
      <c r="X59" s="226" t="s">
        <v>66</v>
      </c>
      <c r="Z59" s="226">
        <f>IF(ISNUMBER($C$15),ROUNDDOWN($C$15*10,-1),0)</f>
        <v>0</v>
      </c>
      <c r="AA59" s="231"/>
      <c r="AB59" s="229"/>
      <c r="AM59" s="242" t="s">
        <v>401</v>
      </c>
      <c r="AN59" s="242"/>
      <c r="AO59" s="290"/>
      <c r="AP59" s="290"/>
      <c r="AQ59" s="229"/>
      <c r="AR59" s="229"/>
      <c r="AS59" s="289"/>
      <c r="AT59" s="229"/>
      <c r="AW59" s="226"/>
      <c r="AX59" s="226"/>
      <c r="AY59" s="226"/>
      <c r="AZ59" s="226"/>
      <c r="BA59" s="226"/>
      <c r="BB59" s="226"/>
      <c r="BC59" s="226"/>
      <c r="BD59" s="226"/>
      <c r="BE59" s="226"/>
      <c r="BF59" s="226"/>
      <c r="BG59" s="226"/>
      <c r="BH59" s="226"/>
      <c r="BI59" s="226"/>
      <c r="BJ59" s="226"/>
      <c r="BK59" s="226"/>
      <c r="BL59" s="226"/>
      <c r="BP59" s="242" t="s">
        <v>168</v>
      </c>
      <c r="BQ59" s="238"/>
      <c r="BR59" s="238"/>
      <c r="BS59" s="238"/>
      <c r="BT59" s="238"/>
      <c r="BU59" s="238"/>
      <c r="BY59" s="255"/>
      <c r="BZ59" s="256"/>
      <c r="CA59" s="256"/>
      <c r="CB59" s="256"/>
      <c r="DH59" s="226">
        <f>HLS!$A58</f>
        <v>0</v>
      </c>
      <c r="DI59" s="226">
        <f>LGS!$A58</f>
        <v>0</v>
      </c>
      <c r="DJ59" s="226">
        <f>FCS!$A58</f>
        <v>0</v>
      </c>
      <c r="DK59" s="226" t="str">
        <f>VDS!$A58</f>
        <v>Bon Instinct à la dinde - CRU</v>
      </c>
      <c r="DL59" s="251"/>
      <c r="DM59" s="226">
        <f>'OPT1'!$A58</f>
        <v>0</v>
      </c>
      <c r="DN59" s="226">
        <f>'OPT2'!$A58</f>
        <v>0</v>
      </c>
    </row>
    <row r="60" spans="1:118" ht="25.2" customHeight="1">
      <c r="A60" s="33"/>
      <c r="B60" s="33"/>
      <c r="C60" s="33"/>
      <c r="D60" s="33"/>
      <c r="E60" s="33"/>
      <c r="F60" s="33"/>
      <c r="G60" s="33"/>
      <c r="H60" s="33"/>
      <c r="I60" s="33"/>
      <c r="J60" s="33"/>
      <c r="K60" s="33"/>
      <c r="L60" s="33"/>
      <c r="M60" s="36"/>
      <c r="N60" s="36"/>
      <c r="O60" s="36"/>
      <c r="P60" s="36"/>
      <c r="Q60" s="36"/>
      <c r="R60" s="10"/>
      <c r="S60" s="10"/>
      <c r="T60" s="10"/>
      <c r="U60" s="8"/>
      <c r="Z60" s="226" t="s">
        <v>93</v>
      </c>
      <c r="AA60" s="226"/>
      <c r="AB60" s="229"/>
      <c r="AM60" s="226" t="s">
        <v>402</v>
      </c>
      <c r="AN60" s="226" t="s">
        <v>403</v>
      </c>
      <c r="AO60" s="231" t="s">
        <v>407</v>
      </c>
      <c r="AP60" s="231"/>
      <c r="AQ60" s="229"/>
      <c r="AR60" s="229"/>
      <c r="AS60" s="289"/>
      <c r="BP60" s="239" t="str">
        <f>$AD$27</f>
        <v>PRO RAW (sans féculent)</v>
      </c>
      <c r="BQ60" s="283" t="s">
        <v>872</v>
      </c>
      <c r="BR60" s="283"/>
      <c r="BS60" s="283"/>
      <c r="BT60" s="283"/>
      <c r="BU60" s="283"/>
      <c r="BY60" s="255"/>
      <c r="BZ60" s="256"/>
      <c r="CA60" s="256"/>
      <c r="CB60" s="256"/>
      <c r="DH60" s="226">
        <f>HLS!$A59</f>
        <v>0</v>
      </c>
      <c r="DI60" s="226">
        <f>LGS!$A59</f>
        <v>0</v>
      </c>
      <c r="DJ60" s="226">
        <f>FCS!$A59</f>
        <v>0</v>
      </c>
      <c r="DK60" s="226" t="str">
        <f>VDS!$A59</f>
        <v>Bon Instinct au lapin - CRU</v>
      </c>
      <c r="DL60" s="251"/>
      <c r="DM60" s="226">
        <f>'OPT1'!$A59</f>
        <v>0</v>
      </c>
      <c r="DN60" s="226">
        <f>'OPT2'!$A59</f>
        <v>0</v>
      </c>
    </row>
    <row r="61" spans="1:118" ht="25.2" customHeight="1">
      <c r="B61" s="4"/>
      <c r="M61" s="150"/>
      <c r="N61" s="150"/>
      <c r="O61" s="150"/>
      <c r="P61" s="150"/>
      <c r="Q61" s="150"/>
      <c r="R61" s="10"/>
      <c r="S61" s="10"/>
      <c r="T61" s="10"/>
      <c r="U61" s="8"/>
      <c r="W61" s="226">
        <f>IF($G$11=$DM$3,0,IF($G$11="",0,1))</f>
        <v>0</v>
      </c>
      <c r="X61" s="226" t="s">
        <v>64</v>
      </c>
      <c r="Z61" s="226">
        <f>IF($Z$59&lt;10,1,$Z$59/10)</f>
        <v>1</v>
      </c>
      <c r="AB61" s="229"/>
      <c r="AD61" s="242" t="s">
        <v>626</v>
      </c>
      <c r="AE61" s="242"/>
      <c r="AF61" s="242"/>
      <c r="AG61" s="242"/>
      <c r="AH61" s="242"/>
      <c r="AI61" s="242"/>
      <c r="AJ61" s="242"/>
      <c r="AM61" s="226" t="s">
        <v>404</v>
      </c>
      <c r="AN61" s="226" t="s">
        <v>405</v>
      </c>
      <c r="AO61" s="231" t="s">
        <v>408</v>
      </c>
      <c r="AP61" s="231"/>
      <c r="AQ61" s="229"/>
      <c r="AR61" s="229"/>
      <c r="AS61" s="289"/>
      <c r="BP61" s="239" t="str">
        <f>$AD$26</f>
        <v>STANDARD (avec féculent)</v>
      </c>
      <c r="BQ61" s="283" t="s">
        <v>942</v>
      </c>
      <c r="BR61" s="283"/>
      <c r="BS61" s="283"/>
      <c r="BT61" s="283"/>
      <c r="BU61" s="283"/>
      <c r="BY61" s="255"/>
      <c r="BZ61" s="256"/>
      <c r="CA61" s="256"/>
      <c r="CB61" s="256"/>
      <c r="DH61" s="226">
        <f>HLS!$A60</f>
        <v>0</v>
      </c>
      <c r="DI61" s="226">
        <f>LGS!$A60</f>
        <v>0</v>
      </c>
      <c r="DJ61" s="226">
        <f>FCS!$A60</f>
        <v>0</v>
      </c>
      <c r="DK61" s="226" t="str">
        <f>VDS!$A60</f>
        <v>Bon Instinct à la pintade - CRU</v>
      </c>
      <c r="DL61" s="251"/>
      <c r="DM61" s="226">
        <f>'OPT1'!$A60</f>
        <v>0</v>
      </c>
      <c r="DN61" s="226">
        <f>'OPT2'!$A60</f>
        <v>0</v>
      </c>
    </row>
    <row r="62" spans="1:118" ht="25.2" customHeight="1">
      <c r="B62" s="4"/>
      <c r="M62" s="150"/>
      <c r="N62" s="150"/>
      <c r="O62" s="150"/>
      <c r="P62" s="150"/>
      <c r="Q62" s="150"/>
      <c r="R62" s="10"/>
      <c r="S62" s="10"/>
      <c r="T62" s="10"/>
      <c r="W62" s="226">
        <f>IF($W$61&gt;0,VLOOKUP($G$11,'OPT1'!$A$2:$AC$100,19,0),0)</f>
        <v>0</v>
      </c>
      <c r="X62" s="226" t="s">
        <v>65</v>
      </c>
      <c r="Z62" s="226" t="s">
        <v>94</v>
      </c>
      <c r="AB62" s="229"/>
      <c r="AD62" s="242"/>
      <c r="AE62" s="231"/>
      <c r="AF62" s="231"/>
      <c r="AG62" s="231"/>
      <c r="AH62" s="231"/>
      <c r="AI62" s="231"/>
      <c r="AJ62" s="231"/>
      <c r="AM62" s="229"/>
      <c r="AN62" s="229"/>
      <c r="AO62" s="229"/>
      <c r="AP62" s="229"/>
      <c r="AQ62" s="229"/>
      <c r="AR62" s="229"/>
      <c r="AS62" s="229"/>
      <c r="BP62" s="239" t="str">
        <f>$AD$28</f>
        <v>MANUELLE (code requis)</v>
      </c>
      <c r="BQ62" s="239" t="s">
        <v>858</v>
      </c>
      <c r="BR62" s="239"/>
      <c r="BS62" s="239"/>
      <c r="BT62" s="239"/>
      <c r="BU62" s="239"/>
      <c r="BY62" s="255"/>
      <c r="BZ62" s="256"/>
      <c r="CA62" s="256"/>
      <c r="CB62" s="256"/>
      <c r="DH62" s="226">
        <f>HLS!$A61</f>
        <v>0</v>
      </c>
      <c r="DI62" s="226">
        <f>LGS!$A61</f>
        <v>0</v>
      </c>
      <c r="DJ62" s="226">
        <f>FCS!$A61</f>
        <v>0</v>
      </c>
      <c r="DK62" s="226" t="str">
        <f>VDS!$A61</f>
        <v>Bon Instinct au poulet - CRU</v>
      </c>
      <c r="DL62" s="251"/>
      <c r="DM62" s="226">
        <f>'OPT1'!$A61</f>
        <v>0</v>
      </c>
      <c r="DN62" s="226">
        <f>'OPT2'!$A61</f>
        <v>0</v>
      </c>
    </row>
    <row r="63" spans="1:118" ht="25.2" customHeight="1">
      <c r="B63" s="4"/>
      <c r="M63" s="150"/>
      <c r="N63" s="150"/>
      <c r="O63" s="150"/>
      <c r="P63" s="150"/>
      <c r="Q63" s="150"/>
      <c r="R63" s="10"/>
      <c r="S63" s="10"/>
      <c r="T63" s="10"/>
      <c r="W63" s="226">
        <f>IF($W$61&gt;0,VLOOKUP($G$11,'OPT1'!$A$2:$AC$100,2,0)*$W$64/100,0)</f>
        <v>0</v>
      </c>
      <c r="X63" s="226" t="s">
        <v>66</v>
      </c>
      <c r="Z63" s="226">
        <f>IF(CTRL!C12&gt;0,IF($W$62&gt;$Z$61,-1,0),0)</f>
        <v>0</v>
      </c>
      <c r="AB63" s="229"/>
      <c r="AD63" s="291" t="s">
        <v>627</v>
      </c>
      <c r="BY63" s="255"/>
      <c r="BZ63" s="256"/>
      <c r="CA63" s="256"/>
      <c r="CB63" s="256"/>
      <c r="DH63" s="226">
        <f>HLS!$A62</f>
        <v>0</v>
      </c>
      <c r="DI63" s="226">
        <f>LGS!$A62</f>
        <v>0</v>
      </c>
      <c r="DJ63" s="226">
        <f>FCS!$A62</f>
        <v>0</v>
      </c>
      <c r="DK63" s="226" t="str">
        <f>VDS!$A62</f>
        <v>Bon Instinct poulet haché - CRU</v>
      </c>
      <c r="DL63" s="251"/>
      <c r="DM63" s="226">
        <f>'OPT1'!$A62</f>
        <v>0</v>
      </c>
      <c r="DN63" s="226">
        <f>'OPT2'!$A62</f>
        <v>0</v>
      </c>
    </row>
    <row r="64" spans="1:118" ht="25.2" customHeight="1">
      <c r="B64" s="4"/>
      <c r="M64" s="150"/>
      <c r="N64" s="150"/>
      <c r="O64" s="150"/>
      <c r="P64" s="150"/>
      <c r="Q64" s="150"/>
      <c r="R64" s="10"/>
      <c r="S64" s="10"/>
      <c r="T64" s="10"/>
      <c r="W64" s="226">
        <f>IF($W$61=0,0,VLOOKUP($G$11,'OPT1'!$A$2:$AC$100,18,0))</f>
        <v>0</v>
      </c>
      <c r="X64" s="226" t="s">
        <v>67</v>
      </c>
      <c r="Z64" s="226" t="s">
        <v>95</v>
      </c>
      <c r="AB64" s="229"/>
      <c r="AM64" s="242" t="s">
        <v>163</v>
      </c>
      <c r="AN64" s="231"/>
      <c r="AO64" s="242" t="s">
        <v>625</v>
      </c>
      <c r="AP64" s="242"/>
      <c r="AQ64" s="242" t="s">
        <v>413</v>
      </c>
      <c r="AR64" s="242"/>
      <c r="AS64" s="247" t="s">
        <v>417</v>
      </c>
      <c r="AW64" s="247"/>
      <c r="BY64" s="255"/>
      <c r="BZ64" s="256"/>
      <c r="CA64" s="256"/>
      <c r="CB64" s="256"/>
      <c r="DH64" s="226">
        <f>HLS!$A63</f>
        <v>0</v>
      </c>
      <c r="DI64" s="226">
        <f>LGS!$A63</f>
        <v>0</v>
      </c>
      <c r="DJ64" s="226">
        <f>FCS!$A63</f>
        <v>0</v>
      </c>
      <c r="DK64" s="226" t="str">
        <f>VDS!$A63</f>
        <v>Almo - blanc de poulet</v>
      </c>
      <c r="DL64" s="251"/>
      <c r="DM64" s="226">
        <f>'OPT1'!$A63</f>
        <v>0</v>
      </c>
      <c r="DN64" s="226">
        <f>'OPT2'!$A63</f>
        <v>0</v>
      </c>
    </row>
    <row r="65" spans="2:118" ht="25.2" customHeight="1">
      <c r="B65" s="4"/>
      <c r="M65" s="150"/>
      <c r="N65" s="150"/>
      <c r="O65" s="150"/>
      <c r="P65" s="150"/>
      <c r="Q65" s="150"/>
      <c r="R65" s="10"/>
      <c r="S65" s="10"/>
      <c r="T65" s="10"/>
      <c r="AB65" s="229"/>
      <c r="AD65" s="226" t="s">
        <v>617</v>
      </c>
      <c r="AE65" s="226" t="e">
        <f>$AN$106</f>
        <v>#VALUE!</v>
      </c>
      <c r="AF65" s="226" t="s">
        <v>618</v>
      </c>
      <c r="AM65" s="231" t="s">
        <v>619</v>
      </c>
      <c r="AN65" s="231"/>
      <c r="AO65" s="281" t="e">
        <f>($AO$75+$AO$76)*VLOOKUP($I$7,$AD$24:$AL$28,9,0)</f>
        <v>#N/A</v>
      </c>
      <c r="AP65" s="231"/>
      <c r="AQ65" s="231" t="s">
        <v>162</v>
      </c>
      <c r="AR65" s="231"/>
      <c r="AS65" s="279" t="str">
        <f>CTRL!B10</f>
        <v>actif</v>
      </c>
      <c r="AW65" s="226"/>
      <c r="AX65" s="242" t="s">
        <v>758</v>
      </c>
      <c r="AY65" s="242"/>
      <c r="AZ65" s="242"/>
      <c r="BA65" s="242"/>
      <c r="BB65" s="242"/>
      <c r="BC65" s="242"/>
      <c r="BD65" s="242"/>
      <c r="BE65" s="242"/>
      <c r="BF65" s="242"/>
      <c r="BG65" s="242"/>
      <c r="BH65" s="242"/>
      <c r="BI65" s="242"/>
      <c r="BJ65" s="242"/>
      <c r="BK65" s="242"/>
      <c r="BL65" s="226"/>
      <c r="BP65" s="242"/>
      <c r="BQ65" s="238"/>
      <c r="BR65" s="238"/>
      <c r="BS65" s="238"/>
      <c r="BT65" s="238"/>
      <c r="BU65" s="238"/>
      <c r="BY65" s="255"/>
      <c r="BZ65" s="256"/>
      <c r="CA65" s="256"/>
      <c r="CB65" s="256"/>
      <c r="DH65" s="226">
        <f>HLS!$A64</f>
        <v>0</v>
      </c>
      <c r="DI65" s="226">
        <f>LGS!$A64</f>
        <v>0</v>
      </c>
      <c r="DJ65" s="226">
        <f>FCS!$A64</f>
        <v>0</v>
      </c>
      <c r="DK65" s="226" t="str">
        <f>VDS!$A64</f>
        <v>Almo - poulet fromage</v>
      </c>
      <c r="DL65" s="251"/>
      <c r="DM65" s="226">
        <f>'OPT1'!$A64</f>
        <v>0</v>
      </c>
      <c r="DN65" s="226">
        <f>'OPT2'!$A64</f>
        <v>0</v>
      </c>
    </row>
    <row r="66" spans="2:118" ht="25.2" customHeight="1" thickBot="1">
      <c r="B66" s="4"/>
      <c r="M66" s="150"/>
      <c r="N66" s="150"/>
      <c r="O66" s="150"/>
      <c r="P66" s="150"/>
      <c r="Q66" s="150"/>
      <c r="R66" s="10"/>
      <c r="S66" s="10"/>
      <c r="T66" s="10"/>
      <c r="W66" s="242" t="s">
        <v>77</v>
      </c>
      <c r="X66" s="238"/>
      <c r="Y66" s="238"/>
      <c r="Z66" s="238"/>
      <c r="AA66" s="238"/>
      <c r="AB66" s="229"/>
      <c r="AD66" s="226" t="s">
        <v>590</v>
      </c>
      <c r="AE66" s="226" t="e">
        <f>$AN$107</f>
        <v>#VALUE!</v>
      </c>
      <c r="AM66" s="231" t="s">
        <v>138</v>
      </c>
      <c r="AN66" s="231"/>
      <c r="AO66" s="231">
        <f>CTRL!E10</f>
        <v>28</v>
      </c>
      <c r="AP66" s="231"/>
      <c r="AQ66" s="231"/>
      <c r="AR66" s="231"/>
      <c r="AS66" s="279"/>
      <c r="AW66" s="226"/>
      <c r="AX66" s="226"/>
      <c r="AY66" s="226"/>
      <c r="AZ66" s="226"/>
      <c r="BA66" s="226"/>
      <c r="BB66" s="226"/>
      <c r="BC66" s="226"/>
      <c r="BD66" s="226"/>
      <c r="BE66" s="226"/>
      <c r="BF66" s="226"/>
      <c r="BG66" s="226"/>
      <c r="BH66" s="226"/>
      <c r="BI66" s="226"/>
      <c r="BJ66" s="226"/>
      <c r="BK66" s="226"/>
      <c r="BY66" s="255"/>
      <c r="BZ66" s="256"/>
      <c r="CA66" s="256"/>
      <c r="CB66" s="256"/>
      <c r="DH66" s="226">
        <f>HLS!$A65</f>
        <v>0</v>
      </c>
      <c r="DI66" s="226">
        <f>LGS!$A65</f>
        <v>0</v>
      </c>
      <c r="DJ66" s="226">
        <f>FCS!$A65</f>
        <v>0</v>
      </c>
      <c r="DK66" s="226" t="str">
        <f>VDS!$A65</f>
        <v>Almo - poulet thon</v>
      </c>
      <c r="DL66" s="251"/>
      <c r="DM66" s="226">
        <f>'OPT1'!$A65</f>
        <v>0</v>
      </c>
      <c r="DN66" s="226">
        <f>'OPT2'!$A65</f>
        <v>0</v>
      </c>
    </row>
    <row r="67" spans="2:118" ht="25.2" customHeight="1">
      <c r="B67" s="4"/>
      <c r="R67" s="149"/>
      <c r="S67" s="138"/>
      <c r="T67" s="139"/>
      <c r="U67" s="139"/>
      <c r="W67" s="238"/>
      <c r="X67" s="238"/>
      <c r="Y67" s="238"/>
      <c r="Z67" s="238"/>
      <c r="AA67" s="238"/>
      <c r="AB67" s="229"/>
      <c r="AD67" s="226" t="s">
        <v>620</v>
      </c>
      <c r="AE67" s="226" t="e">
        <f>$AN$108</f>
        <v>#VALUE!</v>
      </c>
      <c r="AM67" s="231" t="s">
        <v>139</v>
      </c>
      <c r="AN67" s="231"/>
      <c r="AO67" s="231" t="e">
        <f>IF($AO$65&gt;$AO$66,1,0)</f>
        <v>#N/A</v>
      </c>
      <c r="AP67" s="231"/>
      <c r="AQ67" s="231"/>
      <c r="AR67" s="231"/>
      <c r="AS67" s="242" t="s">
        <v>670</v>
      </c>
      <c r="AT67" s="242"/>
      <c r="AW67" s="226"/>
      <c r="AX67" s="226" t="s">
        <v>754</v>
      </c>
      <c r="AY67" s="226" t="s">
        <v>755</v>
      </c>
      <c r="AZ67" s="226" t="s">
        <v>620</v>
      </c>
      <c r="BA67" s="229" t="s">
        <v>756</v>
      </c>
      <c r="BB67" s="226"/>
      <c r="BC67" s="247" t="s">
        <v>417</v>
      </c>
      <c r="BD67" s="226"/>
      <c r="BE67" s="231" t="s">
        <v>759</v>
      </c>
      <c r="BF67" s="231"/>
      <c r="BG67" s="231"/>
      <c r="BH67" s="226" t="s">
        <v>760</v>
      </c>
      <c r="BI67" s="226" t="s">
        <v>761</v>
      </c>
      <c r="BJ67" s="226" t="s">
        <v>762</v>
      </c>
      <c r="BK67" s="226" t="s">
        <v>763</v>
      </c>
      <c r="BY67" s="255"/>
      <c r="BZ67" s="256"/>
      <c r="CA67" s="256"/>
      <c r="CB67" s="256"/>
      <c r="DH67" s="226">
        <f>HLS!$A66</f>
        <v>0</v>
      </c>
      <c r="DI67" s="226">
        <f>LGS!$A66</f>
        <v>0</v>
      </c>
      <c r="DJ67" s="226">
        <f>FCS!$A66</f>
        <v>0</v>
      </c>
      <c r="DK67" s="226" t="str">
        <f>VDS!$A66</f>
        <v>Almo - saumon</v>
      </c>
      <c r="DL67" s="251"/>
      <c r="DM67" s="226">
        <f>'OPT1'!$A66</f>
        <v>0</v>
      </c>
      <c r="DN67" s="226">
        <f>'OPT2'!$A66</f>
        <v>0</v>
      </c>
    </row>
    <row r="68" spans="2:118" ht="25.2" customHeight="1">
      <c r="B68" s="4"/>
      <c r="R68" s="149"/>
      <c r="S68" s="140"/>
      <c r="T68" s="141"/>
      <c r="U68" s="244"/>
      <c r="W68" s="238"/>
      <c r="X68" s="238"/>
      <c r="Y68" s="238"/>
      <c r="Z68" s="238"/>
      <c r="AA68" s="238"/>
      <c r="AB68" s="229"/>
      <c r="AM68" s="231" t="s">
        <v>144</v>
      </c>
      <c r="AN68" s="231"/>
      <c r="AO68" s="231" t="e">
        <f>IF(CTRL!C10&gt;0,IF($AO$67=1,$AO$66,$AO$65),$AO$65)</f>
        <v>#N/A</v>
      </c>
      <c r="AP68" s="231"/>
      <c r="AQ68" s="231"/>
      <c r="AR68" s="231"/>
      <c r="AS68" s="292">
        <f>CTRL!G24*1.5</f>
        <v>7.5</v>
      </c>
      <c r="AT68" s="292" t="s">
        <v>955</v>
      </c>
      <c r="AW68" s="226"/>
      <c r="AX68" s="226" t="e">
        <f>$Z$32</f>
        <v>#VALUE!</v>
      </c>
      <c r="AY68" s="226">
        <f>CTRL!E22</f>
        <v>200</v>
      </c>
      <c r="AZ68" s="226" t="e">
        <f>IF(CTRL!C22&gt;0,IF($AX$68&lt;$AY$68,1,0),1)</f>
        <v>#VALUE!</v>
      </c>
      <c r="BA68" s="229" t="s">
        <v>757</v>
      </c>
      <c r="BB68" s="226"/>
      <c r="BC68" s="231" t="str">
        <f>CTRL!B22</f>
        <v>actif</v>
      </c>
      <c r="BD68" s="226"/>
      <c r="BE68" s="231" t="s">
        <v>764</v>
      </c>
      <c r="BF68" s="231"/>
      <c r="BG68" s="231"/>
      <c r="BH68" s="226" t="e">
        <f>VLOOKUP($I$7,$AD$24:$AI$28,4,0)</f>
        <v>#N/A</v>
      </c>
      <c r="BI68" s="226" t="e">
        <f>ROUNDDOWN(VLOOKUP($I$7,$AD$24:$AI$28,4,0)/2,0)*2</f>
        <v>#N/A</v>
      </c>
      <c r="BJ68" s="226" t="e">
        <f>ROUNDDOWN(VLOOKUP($I$7,$AD$24:$AI$28,4,0)/5,0)*5</f>
        <v>#N/A</v>
      </c>
      <c r="BK68" s="226" t="e">
        <f>IF($AZ$68=1,BI68,BJ68)</f>
        <v>#VALUE!</v>
      </c>
      <c r="BY68" s="255"/>
      <c r="BZ68" s="256"/>
      <c r="CA68" s="256"/>
      <c r="CB68" s="256"/>
      <c r="DH68" s="226">
        <f>HLS!$A67</f>
        <v>0</v>
      </c>
      <c r="DI68" s="226">
        <f>LGS!$A67</f>
        <v>0</v>
      </c>
      <c r="DJ68" s="226">
        <f>FCS!$A67</f>
        <v>0</v>
      </c>
      <c r="DK68" s="226" t="str">
        <f>VDS!$A67</f>
        <v>Almo - thon poulet fromage</v>
      </c>
      <c r="DL68" s="251"/>
      <c r="DM68" s="226">
        <f>'OPT1'!$A67</f>
        <v>0</v>
      </c>
      <c r="DN68" s="226">
        <f>'OPT2'!$A67</f>
        <v>0</v>
      </c>
    </row>
    <row r="69" spans="2:118" ht="25.2" customHeight="1">
      <c r="B69" s="4"/>
      <c r="R69" s="149"/>
      <c r="S69" s="140"/>
      <c r="T69" s="142" t="s">
        <v>224</v>
      </c>
      <c r="U69" s="244"/>
      <c r="W69" s="253"/>
      <c r="AB69" s="229"/>
      <c r="AD69" s="242" t="s">
        <v>631</v>
      </c>
      <c r="AE69" s="279"/>
      <c r="AH69" s="242" t="s">
        <v>632</v>
      </c>
      <c r="AI69" s="238"/>
      <c r="AM69" s="231" t="s">
        <v>145</v>
      </c>
      <c r="AN69" s="231"/>
      <c r="AO69" s="231" t="e">
        <f>ROUND($AS$75*$AO$68/100,2)</f>
        <v>#VALUE!</v>
      </c>
      <c r="AP69" s="231"/>
      <c r="AQ69" s="231">
        <f>IF(CTRL!C10&gt;0,IF($M$14&gt;0,$AS$68,0),99999)</f>
        <v>0</v>
      </c>
      <c r="AR69" s="231"/>
      <c r="AS69" s="239">
        <f>IF($M$14&gt;0,$AS$68*$M$14/100,0)</f>
        <v>0</v>
      </c>
      <c r="AT69" s="239" t="e">
        <f>"kcal ("&amp;ROUND($AS$69*100/$Z$32,2)&amp;"% kcal)"</f>
        <v>#VALUE!</v>
      </c>
      <c r="AW69" s="226"/>
      <c r="AX69" s="226"/>
      <c r="AY69" s="226"/>
      <c r="AZ69" s="226"/>
      <c r="BA69" s="226"/>
      <c r="BB69" s="226"/>
      <c r="BC69" s="231"/>
      <c r="BD69" s="226"/>
      <c r="BE69" s="231" t="s">
        <v>765</v>
      </c>
      <c r="BF69" s="231"/>
      <c r="BG69" s="231"/>
      <c r="BH69" s="226" t="e">
        <f>IF($AN$83=0,$AO$83,$AP$83)</f>
        <v>#VALUE!</v>
      </c>
      <c r="BI69" s="226" t="e">
        <f>IF($AN$83=0,ROUNDDOWN($AO$83/2,0)*2,ROUND($AP$83,0))</f>
        <v>#VALUE!</v>
      </c>
      <c r="BJ69" s="226" t="e">
        <f>IF($AN$83=0,ROUNDDOWN($AO$83/5,0)*5,ROUND($AP$83,0))</f>
        <v>#VALUE!</v>
      </c>
      <c r="BK69" s="226" t="e">
        <f>IF($AZ$68=1,BI69,BJ69)</f>
        <v>#VALUE!</v>
      </c>
      <c r="BY69" s="255"/>
      <c r="BZ69" s="256"/>
      <c r="CA69" s="256"/>
      <c r="CB69" s="256"/>
      <c r="DH69" s="226">
        <f>HLS!$A68</f>
        <v>0</v>
      </c>
      <c r="DI69" s="226">
        <f>LGS!$A68</f>
        <v>0</v>
      </c>
      <c r="DJ69" s="226">
        <f>FCS!$A68</f>
        <v>0</v>
      </c>
      <c r="DK69" s="226" t="str">
        <f>VDS!$A68</f>
        <v>Almo - thon alevins et sardine</v>
      </c>
      <c r="DL69" s="251"/>
      <c r="DM69" s="226">
        <f>'OPT1'!$A68</f>
        <v>0</v>
      </c>
      <c r="DN69" s="226">
        <f>'OPT2'!$A68</f>
        <v>0</v>
      </c>
    </row>
    <row r="70" spans="2:118" ht="25.2" customHeight="1">
      <c r="B70" s="4"/>
      <c r="R70" s="149"/>
      <c r="S70" s="140"/>
      <c r="T70" s="142" t="s">
        <v>926</v>
      </c>
      <c r="U70" s="244"/>
      <c r="W70" s="231" t="s">
        <v>100</v>
      </c>
      <c r="X70" s="231"/>
      <c r="Y70" s="284" t="s">
        <v>98</v>
      </c>
      <c r="Z70" s="243" t="str">
        <f>W71</f>
        <v/>
      </c>
      <c r="AA70" s="243"/>
      <c r="AD70" s="226" t="s">
        <v>1008</v>
      </c>
      <c r="AE70" s="226" t="e">
        <f>VLOOKUP($C$20,$CI$4:$DE$27,23,0)</f>
        <v>#N/A</v>
      </c>
      <c r="AF70" s="226" t="s">
        <v>628</v>
      </c>
      <c r="AH70" s="279" t="str">
        <f>CTRL!B4</f>
        <v>actif</v>
      </c>
      <c r="AI70" s="238"/>
      <c r="AM70" s="231" t="s">
        <v>664</v>
      </c>
      <c r="AN70" s="231"/>
      <c r="AO70" s="231">
        <f>IF($M$14&gt;0,ROUND($AO$69/$M$14*80,0)*1.25,0)</f>
        <v>0</v>
      </c>
      <c r="AP70" s="231"/>
      <c r="AQ70" s="231">
        <f>IF($AO$70&lt;($AQ$69+0.1),$AO$70,$AQ$69)</f>
        <v>0</v>
      </c>
      <c r="AR70" s="231"/>
      <c r="AS70" s="284">
        <f>IF($M$14&gt;0,AQ70*$M$14/100,0)</f>
        <v>0</v>
      </c>
      <c r="AT70" s="229" t="str">
        <f>"kcal pour "&amp;AQ70&amp;" g d'huile"</f>
        <v>kcal pour 0 g d'huile</v>
      </c>
      <c r="AW70" s="226"/>
      <c r="AX70" s="226"/>
      <c r="AY70" s="226"/>
      <c r="AZ70" s="226"/>
      <c r="BA70" s="226"/>
      <c r="BB70" s="226"/>
      <c r="BC70" s="226"/>
      <c r="BD70" s="226"/>
      <c r="BE70" s="231" t="s">
        <v>766</v>
      </c>
      <c r="BF70" s="231"/>
      <c r="BG70" s="231"/>
      <c r="BH70" s="226" t="e">
        <f>$AZ$15*$BO$12</f>
        <v>#N/A</v>
      </c>
      <c r="BI70" s="226" t="e">
        <f>ROUNDUP(($AZ$15*$BO$12)/2,0)*2</f>
        <v>#N/A</v>
      </c>
      <c r="BJ70" s="226" t="e">
        <f>IF($BO$12=1,ROUNDUP($AZ$15*$BO$12/5,0)*5,ROUNDUP($AZ$15*$BO$12/2,0)*2)</f>
        <v>#N/A</v>
      </c>
      <c r="BK70" s="226" t="e">
        <f>IF($AZ$68=1,BI70,BJ70)</f>
        <v>#VALUE!</v>
      </c>
      <c r="BY70" s="255"/>
      <c r="BZ70" s="256"/>
      <c r="CA70" s="256"/>
      <c r="CB70" s="256"/>
      <c r="DH70" s="226">
        <f>HLS!$A69</f>
        <v>0</v>
      </c>
      <c r="DI70" s="226">
        <f>LGS!$A69</f>
        <v>0</v>
      </c>
      <c r="DJ70" s="226">
        <f>FCS!$A69</f>
        <v>0</v>
      </c>
      <c r="DK70" s="226" t="str">
        <f>VDS!$A69</f>
        <v>Almo - poulet crevettes</v>
      </c>
      <c r="DL70" s="251"/>
      <c r="DM70" s="226">
        <f>'OPT1'!$A69</f>
        <v>0</v>
      </c>
      <c r="DN70" s="226">
        <f>'OPT2'!$A69</f>
        <v>0</v>
      </c>
    </row>
    <row r="71" spans="2:118" ht="25.2" customHeight="1">
      <c r="B71" s="4"/>
      <c r="R71" s="149"/>
      <c r="S71" s="143"/>
      <c r="T71" s="144" t="s">
        <v>890</v>
      </c>
      <c r="U71" s="244"/>
      <c r="W71" s="231" t="str">
        <f>IF($W$57=1,$W$58&amp;" g de "&amp;VLOOKUP($G$12,'OPT2'!$A$2:$AC$100,18,0),"")</f>
        <v/>
      </c>
      <c r="X71" s="231"/>
      <c r="Y71" s="284" t="s">
        <v>96</v>
      </c>
      <c r="Z71" s="243" t="str">
        <f>W71&amp;" et "&amp;W72</f>
        <v xml:space="preserve"> et </v>
      </c>
      <c r="AA71" s="243"/>
      <c r="AD71" s="226" t="s">
        <v>629</v>
      </c>
      <c r="AE71" s="258" t="e">
        <f>$AE$70-$AR$104</f>
        <v>#N/A</v>
      </c>
      <c r="AH71" s="238"/>
      <c r="AI71" s="238"/>
      <c r="AM71" s="226"/>
      <c r="AN71" s="226"/>
      <c r="AO71" s="226"/>
      <c r="AP71" s="226"/>
      <c r="AW71" s="226"/>
      <c r="AX71" s="226"/>
      <c r="AY71" s="226"/>
      <c r="AZ71" s="226"/>
      <c r="BA71" s="226"/>
      <c r="BB71" s="226"/>
      <c r="BC71" s="226"/>
      <c r="BD71" s="226"/>
      <c r="BE71" s="231" t="s">
        <v>767</v>
      </c>
      <c r="BF71" s="231"/>
      <c r="BG71" s="231"/>
      <c r="BH71" s="226" t="e">
        <f>$AZ$15*$BO$13</f>
        <v>#N/A</v>
      </c>
      <c r="BI71" s="226" t="e">
        <f>ROUNDUP(($AZ$15*$BO$13)/2,0)*2</f>
        <v>#N/A</v>
      </c>
      <c r="BJ71" s="226" t="e">
        <f>ROUNDUP(($AZ$15*$BO$13)/2,0)*2</f>
        <v>#N/A</v>
      </c>
      <c r="BK71" s="226" t="e">
        <f>IF($AZ$68=1,BI71,BJ71)</f>
        <v>#VALUE!</v>
      </c>
      <c r="BY71" s="255"/>
      <c r="BZ71" s="256"/>
      <c r="CA71" s="256"/>
      <c r="CB71" s="256"/>
      <c r="DH71" s="226">
        <f>HLS!$A70</f>
        <v>0</v>
      </c>
      <c r="DI71" s="226">
        <f>LGS!$A70</f>
        <v>0</v>
      </c>
      <c r="DJ71" s="226">
        <f>FCS!$A70</f>
        <v>0</v>
      </c>
      <c r="DK71" s="226" t="str">
        <f>VDS!$A70</f>
        <v>Almo - cuisse de poulet</v>
      </c>
      <c r="DL71" s="251"/>
      <c r="DM71" s="226">
        <f>'OPT1'!$A70</f>
        <v>0</v>
      </c>
      <c r="DN71" s="226">
        <f>'OPT2'!$A70</f>
        <v>0</v>
      </c>
    </row>
    <row r="72" spans="2:118" ht="25.2" customHeight="1">
      <c r="B72" s="4"/>
      <c r="R72" s="149"/>
      <c r="S72" s="143"/>
      <c r="T72" s="142"/>
      <c r="U72" s="244"/>
      <c r="W72" s="231" t="str">
        <f>IF($W$61=1,VLOOKUP($G$11,'OPT1'!$A$2:$AC$100,20,0)&amp;IF(W62&gt;1,"",""),"")</f>
        <v/>
      </c>
      <c r="X72" s="231"/>
      <c r="Y72" s="284" t="s">
        <v>97</v>
      </c>
      <c r="Z72" s="243" t="str">
        <f>W72</f>
        <v/>
      </c>
      <c r="AA72" s="243"/>
      <c r="AD72" s="226" t="s">
        <v>634</v>
      </c>
      <c r="AE72" s="226" t="e">
        <f>($AE$70*$AN$90/$AR$104)-$AN$90</f>
        <v>#N/A</v>
      </c>
      <c r="AM72" s="293" t="s">
        <v>654</v>
      </c>
      <c r="AN72" s="293"/>
      <c r="AO72" s="293"/>
      <c r="AP72" s="293"/>
      <c r="AQ72" s="293"/>
      <c r="AR72" s="293"/>
      <c r="AS72" s="293"/>
      <c r="AT72" s="293"/>
      <c r="AW72" s="226"/>
      <c r="AX72" s="226"/>
      <c r="AY72" s="226"/>
      <c r="AZ72" s="226"/>
      <c r="BA72" s="226"/>
      <c r="BB72" s="226"/>
      <c r="BC72" s="226"/>
      <c r="BD72" s="226"/>
      <c r="BE72" s="231"/>
      <c r="BF72" s="231"/>
      <c r="BG72" s="231"/>
      <c r="BH72" s="226"/>
      <c r="BI72" s="226"/>
      <c r="BJ72" s="226"/>
      <c r="BK72" s="226"/>
      <c r="BY72" s="255"/>
      <c r="BZ72" s="256"/>
      <c r="CA72" s="256"/>
      <c r="CB72" s="256"/>
      <c r="DH72" s="226">
        <f>HLS!$A71</f>
        <v>0</v>
      </c>
      <c r="DI72" s="226">
        <f>LGS!$A71</f>
        <v>0</v>
      </c>
      <c r="DJ72" s="226">
        <f>FCS!$A71</f>
        <v>0</v>
      </c>
      <c r="DK72" s="226" t="str">
        <f>VDS!$A71</f>
        <v>Almo - saumon poulet</v>
      </c>
      <c r="DL72" s="251"/>
      <c r="DM72" s="226">
        <f>'OPT1'!$A71</f>
        <v>0</v>
      </c>
      <c r="DN72" s="226">
        <f>'OPT2'!$A71</f>
        <v>0</v>
      </c>
    </row>
    <row r="73" spans="2:118" ht="25.2" customHeight="1">
      <c r="B73" s="4"/>
      <c r="R73" s="149"/>
      <c r="S73" s="143"/>
      <c r="T73" s="142" t="s">
        <v>226</v>
      </c>
      <c r="U73" s="244"/>
      <c r="W73" s="231" t="s">
        <v>99</v>
      </c>
      <c r="X73" s="231"/>
      <c r="Y73" s="231" t="str">
        <f>IF($W$57=0,IF($W$61=0,"",$Z$72),"")&amp;IF($W$57=1,IF($W$61=0,$Z$70,$Z$71),"")</f>
        <v/>
      </c>
      <c r="Z73" s="231"/>
      <c r="AA73" s="231"/>
      <c r="AD73" s="226" t="s">
        <v>633</v>
      </c>
      <c r="AE73" s="226" t="e">
        <f>IF(ROUNDUP($AE$72/$AG$37*100,0)&lt;0,0,ROUNDUP($AE$72/$AG$37*100,0))*$AE$67*$AI$74</f>
        <v>#N/A</v>
      </c>
      <c r="AH73" s="261" t="s">
        <v>650</v>
      </c>
      <c r="AI73" s="261">
        <f>$M$13/100</f>
        <v>0</v>
      </c>
      <c r="AW73" s="226"/>
      <c r="AX73" s="226"/>
      <c r="AY73" s="226"/>
      <c r="AZ73" s="226"/>
      <c r="BA73" s="226"/>
      <c r="BB73" s="226"/>
      <c r="BC73" s="226"/>
      <c r="BD73" s="226"/>
      <c r="BE73" s="231"/>
      <c r="BF73" s="231"/>
      <c r="BG73" s="231"/>
      <c r="BH73" s="226"/>
      <c r="BI73" s="226"/>
      <c r="BJ73" s="226"/>
      <c r="BK73" s="226"/>
      <c r="BP73" s="242" t="s">
        <v>241</v>
      </c>
      <c r="BQ73" s="238"/>
      <c r="BR73" s="238"/>
      <c r="BS73" s="238"/>
      <c r="BT73" s="238"/>
      <c r="BU73" s="238"/>
      <c r="BV73" s="247" t="s">
        <v>750</v>
      </c>
      <c r="BY73" s="255"/>
      <c r="BZ73" s="256"/>
      <c r="CA73" s="256"/>
      <c r="CB73" s="256"/>
      <c r="DH73" s="226">
        <f>HLS!$A72</f>
        <v>0</v>
      </c>
      <c r="DI73" s="226">
        <f>LGS!$A72</f>
        <v>0</v>
      </c>
      <c r="DJ73" s="226">
        <f>FCS!$A72</f>
        <v>0</v>
      </c>
      <c r="DK73" s="226" t="str">
        <f>VDS!$A72</f>
        <v>Almo - truite thon</v>
      </c>
      <c r="DL73" s="251"/>
      <c r="DM73" s="226">
        <f>'OPT1'!$A72</f>
        <v>0</v>
      </c>
      <c r="DN73" s="226">
        <f>'OPT2'!$A72</f>
        <v>0</v>
      </c>
    </row>
    <row r="74" spans="2:118" ht="25.2" customHeight="1">
      <c r="B74" s="4"/>
      <c r="R74" s="149"/>
      <c r="S74" s="143"/>
      <c r="T74" s="142" t="s">
        <v>227</v>
      </c>
      <c r="U74" s="244"/>
      <c r="AD74" s="226" t="s">
        <v>635</v>
      </c>
      <c r="AE74" s="226">
        <f>IF($I$7=$AD$26,IF(CTRL!C4&gt;0,ROUNDUP($AE$66*100/$M$13,0),0)*$AE$67*$AI$74,0)</f>
        <v>0</v>
      </c>
      <c r="AH74" s="261" t="s">
        <v>645</v>
      </c>
      <c r="AI74" s="261">
        <f>IF($AI$73&gt;0,IF(ROUNDDOWN($AE$66/$AI$73,0)&gt;0,1,0),0)</f>
        <v>0</v>
      </c>
      <c r="AM74" s="247" t="s">
        <v>616</v>
      </c>
      <c r="AN74" s="247" t="s">
        <v>576</v>
      </c>
      <c r="AO74" s="247" t="s">
        <v>577</v>
      </c>
      <c r="AP74" s="247" t="s">
        <v>578</v>
      </c>
      <c r="AQ74" s="247" t="s">
        <v>579</v>
      </c>
      <c r="AS74" s="226" t="s">
        <v>582</v>
      </c>
      <c r="AT74" s="226" t="s">
        <v>581</v>
      </c>
      <c r="AW74" s="226"/>
      <c r="AX74" s="226"/>
      <c r="AY74" s="226"/>
      <c r="AZ74" s="226"/>
      <c r="BA74" s="226"/>
      <c r="BB74" s="226"/>
      <c r="BC74" s="226"/>
      <c r="BD74" s="226"/>
      <c r="BE74" s="226"/>
      <c r="BF74" s="226"/>
      <c r="BG74" s="226"/>
      <c r="BH74" s="226"/>
      <c r="BI74" s="226"/>
      <c r="BJ74" s="226"/>
      <c r="BK74" s="226"/>
      <c r="BP74" s="226" t="s">
        <v>234</v>
      </c>
      <c r="BQ74" s="243" t="str">
        <f>IF($AA$55=15,IF($Z$3&gt;0," "&amp;VLOOKUP($I$13,FCS!$A$2:$AC$100,20,0),""),"")</f>
        <v/>
      </c>
      <c r="BR74" s="283"/>
      <c r="BS74" s="283"/>
      <c r="BT74" s="283"/>
      <c r="BU74" s="283"/>
      <c r="BV74" s="226">
        <f t="shared" ref="BV74:BV79" si="2">IF(BQ74&lt;&gt;" ",1,0)</f>
        <v>1</v>
      </c>
      <c r="BY74" s="255"/>
      <c r="BZ74" s="256"/>
      <c r="CA74" s="256"/>
      <c r="CB74" s="256"/>
      <c r="DH74" s="226">
        <f>HLS!$A73</f>
        <v>0</v>
      </c>
      <c r="DI74" s="226">
        <f>LGS!$A73</f>
        <v>0</v>
      </c>
      <c r="DJ74" s="226">
        <f>FCS!$A73</f>
        <v>0</v>
      </c>
      <c r="DK74" s="226" t="str">
        <f>VDS!$A73</f>
        <v>Almo - saumon carottes</v>
      </c>
      <c r="DL74" s="251"/>
      <c r="DM74" s="226">
        <f>'OPT1'!$A73</f>
        <v>0</v>
      </c>
      <c r="DN74" s="226">
        <f>'OPT2'!$A73</f>
        <v>0</v>
      </c>
    </row>
    <row r="75" spans="2:118" ht="25.2" customHeight="1">
      <c r="B75" s="4"/>
      <c r="R75" s="149"/>
      <c r="S75" s="143"/>
      <c r="T75" s="142" t="s">
        <v>228</v>
      </c>
      <c r="U75" s="244"/>
      <c r="X75" s="226" t="s">
        <v>182</v>
      </c>
      <c r="Y75" s="226">
        <f>IF($AA$55=15,IF($W$57=0,IF($W$61=0,0,1),1),0)</f>
        <v>0</v>
      </c>
      <c r="Z75" s="229" t="s">
        <v>202</v>
      </c>
      <c r="AD75" s="226" t="s">
        <v>636</v>
      </c>
      <c r="AE75" s="226" t="e">
        <f>IF(CTRL!C4&gt;0,IF($AE$74&lt;($AE$73+0.1),$AE74,$AE73),0)*$AE$67*$AI$74</f>
        <v>#N/A</v>
      </c>
      <c r="AH75" s="269"/>
      <c r="AM75" s="226" t="s">
        <v>72</v>
      </c>
      <c r="AN75" s="226" t="e">
        <f>VLOOKUP($C$20,$CI$4:$CL$27,3,0)</f>
        <v>#N/A</v>
      </c>
      <c r="AO75" s="226" t="e">
        <f>VLOOKUP($C$20,$CI$4:$CL$27,4,0)</f>
        <v>#N/A</v>
      </c>
      <c r="AQ75" s="226"/>
      <c r="AR75" s="226" t="s">
        <v>904</v>
      </c>
      <c r="AS75" s="226" t="e">
        <f>$Z$32</f>
        <v>#VALUE!</v>
      </c>
      <c r="AT75" s="226" t="e">
        <f>$Y$34</f>
        <v>#N/A</v>
      </c>
      <c r="AW75" s="226"/>
      <c r="AX75" s="226"/>
      <c r="AY75" s="226"/>
      <c r="AZ75" s="226"/>
      <c r="BA75" s="226"/>
      <c r="BB75" s="226"/>
      <c r="BC75" s="226"/>
      <c r="BD75" s="226"/>
      <c r="BE75" s="226"/>
      <c r="BF75" s="226"/>
      <c r="BG75" s="226"/>
      <c r="BH75" s="226"/>
      <c r="BI75" s="226"/>
      <c r="BJ75" s="226"/>
      <c r="BK75" s="226"/>
      <c r="BP75" s="226" t="s">
        <v>235</v>
      </c>
      <c r="BQ75" s="243" t="str">
        <f>IF($AA$55=15,IF($Y$3&gt;0," "&amp;VLOOKUP($I$12,LGS!$A$2:$AC$100,20,0),""),"")</f>
        <v/>
      </c>
      <c r="BR75" s="283"/>
      <c r="BS75" s="283"/>
      <c r="BT75" s="283"/>
      <c r="BU75" s="283"/>
      <c r="BV75" s="226">
        <f t="shared" si="2"/>
        <v>1</v>
      </c>
      <c r="BY75" s="255"/>
      <c r="BZ75" s="256"/>
      <c r="CA75" s="256"/>
      <c r="CB75" s="256"/>
      <c r="DH75" s="226">
        <f>HLS!$A74</f>
        <v>0</v>
      </c>
      <c r="DI75" s="226">
        <f>LGS!$A74</f>
        <v>0</v>
      </c>
      <c r="DJ75" s="226">
        <f>FCS!$A74</f>
        <v>0</v>
      </c>
      <c r="DK75" s="226" t="str">
        <f>VDS!$A74</f>
        <v>Almo - assortiment mer</v>
      </c>
      <c r="DL75" s="251"/>
      <c r="DM75" s="226">
        <f>'OPT1'!$A74</f>
        <v>0</v>
      </c>
      <c r="DN75" s="226">
        <f>'OPT2'!$A74</f>
        <v>0</v>
      </c>
    </row>
    <row r="76" spans="2:118" ht="25.2" customHeight="1">
      <c r="B76" s="4"/>
      <c r="R76" s="149"/>
      <c r="S76" s="143"/>
      <c r="T76" s="142" t="s">
        <v>927</v>
      </c>
      <c r="U76" s="244"/>
      <c r="W76" s="294"/>
      <c r="X76" s="276"/>
      <c r="Y76" s="276"/>
      <c r="Z76" s="276"/>
      <c r="AA76" s="276"/>
      <c r="AD76" s="226" t="s">
        <v>772</v>
      </c>
      <c r="AE76" s="226" t="e">
        <f>$AE$75*$M$13/100</f>
        <v>#N/A</v>
      </c>
      <c r="AM76" s="226" t="s">
        <v>74</v>
      </c>
      <c r="AN76" s="258" t="e">
        <f>IF($AJ$11=1,1,VLOOKUP($C$21,$CD$4:$CG$9,3,0))+VLOOKUP($C$22,$CI$40:$CL$42,3,0)+IF($AJ$11=1,0,VLOOKUP($C$23,$CD$40:$CG$44,3,0))+VLOOKUP($C$24,$CD$28:$CG$32,3,0)+VLOOKUP($C$25,$CD$19:$CG$25,3,0)+VLOOKUP($C$19,$BY$4:$CB$199,3,0)+AR82</f>
        <v>#N/A</v>
      </c>
      <c r="AO76" s="258" t="e">
        <f>IF($AJ$11=1,0,VLOOKUP($C$21,$CD$4:$CG$9,4,0))+VLOOKUP($C$22,$CI$40:$CL$42,4,0)+IF($AJ$11=1,0,VLOOKUP($C$23,$CD$40:$CG$44,4,0))+VLOOKUP($C$24,$CD$28:$CG$32,4,0)+VLOOKUP($C$25,$CD$19:$CG$25,4,0)+VLOOKUP($C$19,$BY$4:$CB$199,4,0)</f>
        <v>#N/A</v>
      </c>
      <c r="AR76" s="226" t="s">
        <v>903</v>
      </c>
      <c r="AS76" s="258">
        <f>$Y$32</f>
        <v>0</v>
      </c>
      <c r="AT76" s="226" t="e">
        <f>$Z$34</f>
        <v>#N/A</v>
      </c>
      <c r="AW76" s="226"/>
      <c r="AX76" s="226"/>
      <c r="AY76" s="226"/>
      <c r="AZ76" s="226"/>
      <c r="BA76" s="226"/>
      <c r="BB76" s="226"/>
      <c r="BC76" s="226"/>
      <c r="BD76" s="226"/>
      <c r="BE76" s="226"/>
      <c r="BF76" s="226"/>
      <c r="BG76" s="226"/>
      <c r="BH76" s="226"/>
      <c r="BI76" s="226"/>
      <c r="BJ76" s="226"/>
      <c r="BK76" s="226"/>
      <c r="BP76" s="226" t="s">
        <v>236</v>
      </c>
      <c r="BQ76" s="243" t="str">
        <f>IF($AA$55=15,IF($X$3&gt;0," "&amp;VLOOKUP($I$11,VDS!$A$2:$AJ$107,20,0),""),"")</f>
        <v/>
      </c>
      <c r="BR76" s="283"/>
      <c r="BS76" s="283"/>
      <c r="BT76" s="283"/>
      <c r="BU76" s="283"/>
      <c r="BV76" s="226">
        <f t="shared" si="2"/>
        <v>1</v>
      </c>
      <c r="BY76" s="255"/>
      <c r="BZ76" s="256"/>
      <c r="CA76" s="256"/>
      <c r="CB76" s="256"/>
      <c r="DH76" s="226">
        <f>HLS!$A75</f>
        <v>0</v>
      </c>
      <c r="DI76" s="226">
        <f>LGS!$A75</f>
        <v>0</v>
      </c>
      <c r="DJ76" s="226">
        <f>FCS!$A75</f>
        <v>0</v>
      </c>
      <c r="DK76" s="226" t="str">
        <f>VDS!$A75</f>
        <v>Almo - kitten poulet</v>
      </c>
      <c r="DL76" s="251"/>
      <c r="DM76" s="226">
        <f>'OPT1'!$A75</f>
        <v>0</v>
      </c>
      <c r="DN76" s="226">
        <f>'OPT2'!$A75</f>
        <v>0</v>
      </c>
    </row>
    <row r="77" spans="2:118" ht="25.2" customHeight="1">
      <c r="B77" s="4"/>
      <c r="R77" s="149"/>
      <c r="S77" s="143"/>
      <c r="T77" s="142" t="s">
        <v>928</v>
      </c>
      <c r="U77" s="244"/>
      <c r="W77" s="295" t="s">
        <v>414</v>
      </c>
      <c r="X77" s="296" t="s">
        <v>200</v>
      </c>
      <c r="Y77" s="296">
        <v>125</v>
      </c>
      <c r="AD77" s="226" t="s">
        <v>590</v>
      </c>
      <c r="AE77" s="226" t="e">
        <f>$AE$66-$AE$76</f>
        <v>#VALUE!</v>
      </c>
      <c r="AM77" s="226" t="s">
        <v>75</v>
      </c>
      <c r="AN77" s="226" t="e">
        <f>IF(AN75+AN76&gt;AN81,IF(AN75+AN76&gt;AQ81,AQ81,AN75+AN76),AN81)</f>
        <v>#N/A</v>
      </c>
      <c r="AO77" s="226" t="e">
        <f>$AO$68</f>
        <v>#N/A</v>
      </c>
      <c r="AR77" s="226">
        <f>IF($I$12="Courgette avec peau - CUITE",-1,0)</f>
        <v>0</v>
      </c>
      <c r="AW77" s="226"/>
      <c r="AX77" s="226"/>
      <c r="AY77" s="226"/>
      <c r="AZ77" s="226"/>
      <c r="BA77" s="226"/>
      <c r="BB77" s="226"/>
      <c r="BC77" s="226"/>
      <c r="BD77" s="226"/>
      <c r="BE77" s="226"/>
      <c r="BF77" s="226"/>
      <c r="BG77" s="226"/>
      <c r="BH77" s="226"/>
      <c r="BI77" s="226"/>
      <c r="BJ77" s="226"/>
      <c r="BK77" s="226"/>
      <c r="BP77" s="226" t="s">
        <v>237</v>
      </c>
      <c r="BQ77" s="243" t="str">
        <f>IF($AA$55=15,IF($W$26&gt;0," "&amp;VLOOKUP($I$14,HLS!$A$2:$AC$100,20,0),""),"")</f>
        <v/>
      </c>
      <c r="BR77" s="283"/>
      <c r="BS77" s="283"/>
      <c r="BT77" s="283"/>
      <c r="BU77" s="283"/>
      <c r="BV77" s="226">
        <f t="shared" si="2"/>
        <v>1</v>
      </c>
      <c r="BY77" s="255"/>
      <c r="BZ77" s="256"/>
      <c r="CA77" s="256"/>
      <c r="CB77" s="256"/>
      <c r="DH77" s="226">
        <f>HLS!$A76</f>
        <v>0</v>
      </c>
      <c r="DI77" s="226">
        <f>LGS!$A76</f>
        <v>0</v>
      </c>
      <c r="DJ77" s="226">
        <f>FCS!$A76</f>
        <v>0</v>
      </c>
      <c r="DK77" s="226" t="str">
        <f>VDS!$A76</f>
        <v>Almo - poulet foie</v>
      </c>
      <c r="DL77" s="251"/>
      <c r="DM77" s="226">
        <f>'OPT1'!$A76</f>
        <v>0</v>
      </c>
      <c r="DN77" s="226">
        <f>'OPT2'!$A76</f>
        <v>0</v>
      </c>
    </row>
    <row r="78" spans="2:118" ht="25.2" customHeight="1">
      <c r="B78" s="4"/>
      <c r="R78" s="149"/>
      <c r="S78" s="143"/>
      <c r="T78" s="141"/>
      <c r="U78" s="244"/>
      <c r="W78" s="297"/>
      <c r="X78" s="296" t="s">
        <v>389</v>
      </c>
      <c r="Y78" s="226">
        <v>93.75</v>
      </c>
      <c r="AD78" s="226" t="s">
        <v>620</v>
      </c>
      <c r="AE78" s="226" t="e">
        <f>IF(AE77&gt;0,1,0)</f>
        <v>#VALUE!</v>
      </c>
      <c r="AM78" s="226" t="s">
        <v>583</v>
      </c>
      <c r="AN78" s="226" t="e">
        <f>AS75/100*AN77</f>
        <v>#VALUE!</v>
      </c>
      <c r="AO78" s="226" t="e">
        <f>$AO$69</f>
        <v>#VALUE!</v>
      </c>
      <c r="AR78" s="226">
        <f>IF($I$12="Courgette avec peau - CRUE",-1,0)</f>
        <v>0</v>
      </c>
      <c r="AS78" s="226" t="s">
        <v>587</v>
      </c>
      <c r="AT78" s="226">
        <f>$W$59</f>
        <v>0</v>
      </c>
      <c r="AW78" s="226"/>
      <c r="AX78" s="226"/>
      <c r="AY78" s="226"/>
      <c r="AZ78" s="226"/>
      <c r="BA78" s="226"/>
      <c r="BB78" s="226"/>
      <c r="BC78" s="226"/>
      <c r="BD78" s="226"/>
      <c r="BE78" s="226"/>
      <c r="BF78" s="226"/>
      <c r="BG78" s="226"/>
      <c r="BH78" s="226"/>
      <c r="BI78" s="226"/>
      <c r="BJ78" s="226"/>
      <c r="BK78" s="226"/>
      <c r="BP78" s="226" t="s">
        <v>788</v>
      </c>
      <c r="BQ78" s="243" t="str">
        <f>IF($I$15&lt;&gt;"",IF($X$3&gt;0," "&amp;VLOOKUP($I$15,VDS!$A$2:$AJ$107,20,0),""),"")</f>
        <v/>
      </c>
      <c r="BR78" s="283"/>
      <c r="BS78" s="283"/>
      <c r="BT78" s="283"/>
      <c r="BU78" s="283"/>
      <c r="BV78" s="226">
        <f t="shared" si="2"/>
        <v>1</v>
      </c>
      <c r="BY78" s="255"/>
      <c r="BZ78" s="256"/>
      <c r="CA78" s="256"/>
      <c r="CB78" s="256"/>
      <c r="DH78" s="226">
        <f>HLS!$A77</f>
        <v>0</v>
      </c>
      <c r="DI78" s="226">
        <f>LGS!$A77</f>
        <v>0</v>
      </c>
      <c r="DJ78" s="226">
        <f>FCS!$A77</f>
        <v>0</v>
      </c>
      <c r="DK78" s="226" t="str">
        <f>VDS!$A77</f>
        <v>Applaws - filet de thon anchois</v>
      </c>
      <c r="DL78" s="251"/>
      <c r="DM78" s="226">
        <f>'OPT1'!$A77</f>
        <v>0</v>
      </c>
      <c r="DN78" s="226">
        <f>'OPT2'!$A77</f>
        <v>0</v>
      </c>
    </row>
    <row r="79" spans="2:118" ht="25.2" customHeight="1" thickBot="1">
      <c r="B79" s="4"/>
      <c r="R79" s="149"/>
      <c r="S79" s="145"/>
      <c r="T79" s="146"/>
      <c r="U79" s="146"/>
      <c r="W79" s="297"/>
      <c r="X79" s="296" t="s">
        <v>197</v>
      </c>
      <c r="Y79" s="226">
        <v>62.5</v>
      </c>
      <c r="AM79" s="226" t="s">
        <v>580</v>
      </c>
      <c r="AN79" s="226" t="e">
        <f>$AO$84</f>
        <v>#VALUE!</v>
      </c>
      <c r="AO79" s="226">
        <f>IF($BC$4=0,IF($M$14&gt;0,$AQ$70,0),$BC$6)</f>
        <v>0</v>
      </c>
      <c r="AP79" s="226" t="e">
        <f>ROUNDUP($AT$76/$AE$35*100,0)</f>
        <v>#N/A</v>
      </c>
      <c r="AQ79" s="226" t="e">
        <f>VLOOKUP($C$20,$CI$4:$DE$27,22,0)*$X$101</f>
        <v>#N/A</v>
      </c>
      <c r="AR79" s="226">
        <f>IF($I$12="Céleri branche - CUIT",-2,0)</f>
        <v>0</v>
      </c>
      <c r="AS79" s="226" t="s">
        <v>586</v>
      </c>
      <c r="AT79" s="226">
        <f>$W$63</f>
        <v>0</v>
      </c>
      <c r="AW79" s="226"/>
      <c r="AX79" s="226"/>
      <c r="AY79" s="226"/>
      <c r="AZ79" s="226"/>
      <c r="BA79" s="226"/>
      <c r="BB79" s="226"/>
      <c r="BC79" s="226"/>
      <c r="BD79" s="226"/>
      <c r="BE79" s="226"/>
      <c r="BF79" s="226"/>
      <c r="BG79" s="226"/>
      <c r="BH79" s="226"/>
      <c r="BI79" s="226"/>
      <c r="BJ79" s="226"/>
      <c r="BK79" s="226"/>
      <c r="BP79" s="226" t="s">
        <v>789</v>
      </c>
      <c r="BQ79" s="229" t="str">
        <f>IF($BQ$78&lt;&gt;$BQ$76,$BQ$78," ")</f>
        <v xml:space="preserve"> </v>
      </c>
      <c r="BV79" s="226">
        <f t="shared" si="2"/>
        <v>0</v>
      </c>
      <c r="BY79" s="255"/>
      <c r="BZ79" s="256"/>
      <c r="CA79" s="256"/>
      <c r="CB79" s="256"/>
      <c r="DH79" s="226">
        <f>HLS!$A78</f>
        <v>0</v>
      </c>
      <c r="DI79" s="226">
        <f>LGS!$A78</f>
        <v>0</v>
      </c>
      <c r="DJ79" s="226">
        <f>FCS!$A78</f>
        <v>0</v>
      </c>
      <c r="DK79" s="226" t="str">
        <f>VDS!$A78</f>
        <v>Applaws - filet de thon crevettes</v>
      </c>
      <c r="DL79" s="251"/>
      <c r="DM79" s="226">
        <f>'OPT1'!$A78</f>
        <v>0</v>
      </c>
      <c r="DN79" s="226">
        <f>'OPT2'!$A78</f>
        <v>0</v>
      </c>
    </row>
    <row r="80" spans="2:118" ht="25.2" customHeight="1">
      <c r="B80" s="4"/>
      <c r="W80" s="297"/>
      <c r="X80" s="296" t="s">
        <v>390</v>
      </c>
      <c r="Y80" s="226">
        <v>60</v>
      </c>
      <c r="AD80" s="242" t="s">
        <v>637</v>
      </c>
      <c r="AE80" s="279"/>
      <c r="AH80" s="242" t="s">
        <v>630</v>
      </c>
      <c r="AI80" s="238"/>
      <c r="AM80" s="226" t="s">
        <v>584</v>
      </c>
      <c r="AN80" s="226" t="e">
        <f>$AN$79*$M$12/100</f>
        <v>#VALUE!</v>
      </c>
      <c r="AO80" s="226">
        <f>$AO$79*$M$14/100</f>
        <v>0</v>
      </c>
      <c r="AP80" s="226" t="e">
        <f>$AP$79*$M$11/100</f>
        <v>#N/A</v>
      </c>
      <c r="AQ80" s="226" t="e">
        <f>$AQ$79*$M$13/100</f>
        <v>#N/A</v>
      </c>
      <c r="AR80" s="269">
        <f>IF($I$12="Concombre avec peau - CRU",-2,0)</f>
        <v>0</v>
      </c>
      <c r="BP80" s="226" t="s">
        <v>751</v>
      </c>
      <c r="BQ80" s="229" t="str">
        <f>"
Nos petits conseils…"</f>
        <v xml:space="preserve">
Nos petits conseils…</v>
      </c>
      <c r="BU80" s="226" t="s">
        <v>14</v>
      </c>
      <c r="BV80" s="226">
        <f>SUM(BV74:BV79)</f>
        <v>5</v>
      </c>
      <c r="BY80" s="255"/>
      <c r="BZ80" s="256"/>
      <c r="CA80" s="256"/>
      <c r="CB80" s="256"/>
      <c r="DH80" s="226">
        <f>HLS!$A79</f>
        <v>0</v>
      </c>
      <c r="DI80" s="226">
        <f>LGS!$A79</f>
        <v>0</v>
      </c>
      <c r="DJ80" s="226">
        <f>FCS!$A79</f>
        <v>0</v>
      </c>
      <c r="DK80" s="226" t="str">
        <f>VDS!$A79</f>
        <v>Applaws - blanc de poulet potiron</v>
      </c>
      <c r="DL80" s="251"/>
      <c r="DM80" s="226">
        <f>'OPT1'!$A79</f>
        <v>0</v>
      </c>
      <c r="DN80" s="226">
        <f>'OPT2'!$A79</f>
        <v>0</v>
      </c>
    </row>
    <row r="81" spans="2:118" ht="25.2" customHeight="1">
      <c r="B81" s="4"/>
      <c r="W81" s="297"/>
      <c r="X81" s="296" t="s">
        <v>391</v>
      </c>
      <c r="Y81" s="226">
        <v>45</v>
      </c>
      <c r="AD81" s="226" t="s">
        <v>1007</v>
      </c>
      <c r="AE81" s="226">
        <f>CTRL!E6</f>
        <v>20</v>
      </c>
      <c r="AH81" s="279" t="str">
        <f>CTRL!B6</f>
        <v>actif</v>
      </c>
      <c r="AI81" s="238"/>
      <c r="AM81" s="226" t="s">
        <v>723</v>
      </c>
      <c r="AN81" s="226" t="e">
        <f>VLOOKUP($C$20,$CI$4:$DF$27,24,0)</f>
        <v>#N/A</v>
      </c>
      <c r="AO81" s="231" t="s">
        <v>722</v>
      </c>
      <c r="AP81" s="238"/>
      <c r="AQ81" s="226">
        <f>IF(CTRL!C20&gt;0,CTRL!E20,100)</f>
        <v>12</v>
      </c>
      <c r="AR81" s="269">
        <f>IF($I$12="Fenouil - CUIT",-2,0)</f>
        <v>0</v>
      </c>
      <c r="AS81" s="226" t="s">
        <v>588</v>
      </c>
      <c r="AT81" s="226" t="e">
        <f>$AS$75-$AT$78-$AT$79</f>
        <v>#VALUE!</v>
      </c>
      <c r="BY81" s="255"/>
      <c r="BZ81" s="256"/>
      <c r="CA81" s="256"/>
      <c r="CB81" s="256"/>
      <c r="DH81" s="226">
        <f>HLS!$A80</f>
        <v>0</v>
      </c>
      <c r="DI81" s="226">
        <f>LGS!$A80</f>
        <v>0</v>
      </c>
      <c r="DJ81" s="226">
        <f>FCS!$A80</f>
        <v>0</v>
      </c>
      <c r="DK81" s="226" t="str">
        <f>VDS!$A80</f>
        <v>Applaws - blanc de poulet asperges</v>
      </c>
      <c r="DL81" s="251"/>
      <c r="DM81" s="226">
        <f>'OPT1'!$A80</f>
        <v>0</v>
      </c>
      <c r="DN81" s="226">
        <f>'OPT2'!$A80</f>
        <v>0</v>
      </c>
    </row>
    <row r="82" spans="2:118" ht="25.2" customHeight="1">
      <c r="W82" s="297"/>
      <c r="X82" s="296" t="s">
        <v>381</v>
      </c>
      <c r="Y82" s="226">
        <v>30</v>
      </c>
      <c r="AD82" s="226" t="s">
        <v>629</v>
      </c>
      <c r="AE82" s="258" t="e">
        <f>$AE$81-$AQ$104</f>
        <v>#VALUE!</v>
      </c>
      <c r="AG82" s="261"/>
      <c r="AH82" s="238"/>
      <c r="AI82" s="238"/>
      <c r="AJ82" s="298"/>
      <c r="AM82" s="242" t="s">
        <v>585</v>
      </c>
      <c r="AN82" s="279"/>
      <c r="AO82" s="226" t="s">
        <v>230</v>
      </c>
      <c r="AP82" s="226" t="s">
        <v>231</v>
      </c>
      <c r="AQ82" s="247" t="s">
        <v>417</v>
      </c>
      <c r="AR82" s="269">
        <f>MIN(AR77:AR81)</f>
        <v>0</v>
      </c>
      <c r="AS82" s="226" t="s">
        <v>589</v>
      </c>
      <c r="AT82" s="226" t="e">
        <f>SUM($AN$80:$AQ$80)</f>
        <v>#VALUE!</v>
      </c>
      <c r="BY82" s="255"/>
      <c r="BZ82" s="256"/>
      <c r="CA82" s="256"/>
      <c r="CB82" s="256"/>
      <c r="DH82" s="226">
        <f>HLS!$A81</f>
        <v>0</v>
      </c>
      <c r="DI82" s="226">
        <f>LGS!$A81</f>
        <v>0</v>
      </c>
      <c r="DJ82" s="226">
        <f>FCS!$A81</f>
        <v>0</v>
      </c>
      <c r="DK82" s="226" t="str">
        <f>VDS!$A81</f>
        <v>Applaws - blanc de poulet autruche</v>
      </c>
      <c r="DL82" s="251"/>
      <c r="DM82" s="226">
        <f>'OPT1'!$A81</f>
        <v>0</v>
      </c>
      <c r="DN82" s="226">
        <f>'OPT2'!$A81</f>
        <v>0</v>
      </c>
    </row>
    <row r="83" spans="2:118" ht="25.2" customHeight="1">
      <c r="W83" s="297"/>
      <c r="X83" s="296" t="s">
        <v>201</v>
      </c>
      <c r="Y83" s="226">
        <v>15</v>
      </c>
      <c r="AD83" s="226" t="s">
        <v>638</v>
      </c>
      <c r="AE83" s="226">
        <f>$AQ$69</f>
        <v>0</v>
      </c>
      <c r="AG83" s="261"/>
      <c r="AH83" s="261"/>
      <c r="AI83" s="298"/>
      <c r="AJ83" s="298"/>
      <c r="AM83" s="226" t="s">
        <v>232</v>
      </c>
      <c r="AN83" s="226">
        <f>IF($I$12&gt;0,IF($Y$3&gt;0,VLOOKUP($I$12,LGS!$A$2:$AC$100,21,0),0),0)</f>
        <v>0</v>
      </c>
      <c r="AO83" s="226" t="e">
        <f>ROUNDUP(100*$AN$78/$M$12,0)</f>
        <v>#VALUE!</v>
      </c>
      <c r="AP83" s="226">
        <f>IF($C$15&gt;0,ROUNDUP($C$15,0)*$AN$83*$X$101,0)</f>
        <v>0</v>
      </c>
      <c r="AQ83" s="231" t="str">
        <f>CTRL!B20</f>
        <v>actif</v>
      </c>
      <c r="AS83" s="226" t="s">
        <v>590</v>
      </c>
      <c r="AT83" s="226" t="e">
        <f>$AT$81-$AT$82</f>
        <v>#VALUE!</v>
      </c>
      <c r="BY83" s="255"/>
      <c r="BZ83" s="256"/>
      <c r="CA83" s="256"/>
      <c r="CB83" s="256"/>
      <c r="DH83" s="226">
        <f>HLS!$A82</f>
        <v>0</v>
      </c>
      <c r="DI83" s="226">
        <f>LGS!$A82</f>
        <v>0</v>
      </c>
      <c r="DJ83" s="226">
        <f>FCS!$A82</f>
        <v>0</v>
      </c>
      <c r="DK83" s="226" t="str">
        <f>VDS!$A82</f>
        <v>Applaws - filet de poulet canard</v>
      </c>
      <c r="DL83" s="251"/>
      <c r="DM83" s="226">
        <f>'OPT1'!$A82</f>
        <v>0</v>
      </c>
      <c r="DN83" s="226">
        <f>'OPT2'!$A82</f>
        <v>0</v>
      </c>
    </row>
    <row r="84" spans="2:118" ht="25.2" customHeight="1">
      <c r="W84" s="297"/>
      <c r="X84" s="296" t="s">
        <v>392</v>
      </c>
      <c r="Y84" s="226">
        <v>10</v>
      </c>
      <c r="AD84" s="226" t="s">
        <v>639</v>
      </c>
      <c r="AE84" s="226" t="e">
        <f>($AE$81*$AN$99/$AQ$104)-$AN$99</f>
        <v>#VALUE!</v>
      </c>
      <c r="AF84" s="229"/>
      <c r="AG84" s="298"/>
      <c r="AH84" s="261" t="s">
        <v>644</v>
      </c>
      <c r="AI84" s="261">
        <f>2*$M$14/100</f>
        <v>0</v>
      </c>
      <c r="AM84" s="231" t="s">
        <v>379</v>
      </c>
      <c r="AN84" s="231"/>
      <c r="AO84" s="280" t="e">
        <f>$BK$69</f>
        <v>#VALUE!</v>
      </c>
      <c r="AP84" s="280"/>
      <c r="AQ84" s="238"/>
      <c r="AS84" s="226" t="s">
        <v>615</v>
      </c>
      <c r="AT84" s="226" t="e">
        <f>ROUNDUP(IF($AT$83&lt;0,$AT$83*100/$M$13,0),0)</f>
        <v>#VALUE!</v>
      </c>
      <c r="BY84" s="255"/>
      <c r="BZ84" s="256"/>
      <c r="CA84" s="256"/>
      <c r="CB84" s="256"/>
      <c r="DH84" s="226">
        <f>HLS!$A83</f>
        <v>0</v>
      </c>
      <c r="DI84" s="226">
        <f>LGS!$A83</f>
        <v>0</v>
      </c>
      <c r="DJ84" s="226">
        <f>FCS!$A83</f>
        <v>0</v>
      </c>
      <c r="DK84" s="226" t="str">
        <f>VDS!$A83</f>
        <v>Applaws - sardine maquereau</v>
      </c>
      <c r="DL84" s="251"/>
      <c r="DM84" s="226">
        <f>'OPT1'!$A83</f>
        <v>0</v>
      </c>
      <c r="DN84" s="226">
        <f>'OPT2'!$A83</f>
        <v>0</v>
      </c>
    </row>
    <row r="85" spans="2:118" ht="25.2" customHeight="1">
      <c r="W85" s="297"/>
      <c r="X85" s="296" t="s">
        <v>382</v>
      </c>
      <c r="Y85" s="226">
        <v>5</v>
      </c>
      <c r="AD85" s="226" t="s">
        <v>640</v>
      </c>
      <c r="AE85" s="226">
        <f>IF($M$14&gt;0,IF(ROUNDUP($AE$84/$AF$38*100,0)&lt;0,0,ROUNDUP($AE$84/$AF$38*100,0))*$AE$78*$AI$85,0)</f>
        <v>0</v>
      </c>
      <c r="AG85" s="298"/>
      <c r="AH85" s="261" t="s">
        <v>645</v>
      </c>
      <c r="AI85" s="247">
        <v>1</v>
      </c>
      <c r="AJ85" s="237" t="s">
        <v>957</v>
      </c>
      <c r="AO85" s="299" t="s">
        <v>769</v>
      </c>
      <c r="BY85" s="255"/>
      <c r="BZ85" s="256"/>
      <c r="CA85" s="256"/>
      <c r="CB85" s="256"/>
      <c r="DH85" s="226">
        <f>HLS!$A84</f>
        <v>0</v>
      </c>
      <c r="DI85" s="226">
        <f>LGS!$A84</f>
        <v>0</v>
      </c>
      <c r="DJ85" s="226">
        <f>FCS!$A84</f>
        <v>0</v>
      </c>
      <c r="DK85" s="226" t="str">
        <f>VDS!$A84</f>
        <v>Applaws - poulet riz</v>
      </c>
      <c r="DL85" s="251"/>
      <c r="DM85" s="226">
        <f>'OPT1'!$A84</f>
        <v>0</v>
      </c>
      <c r="DN85" s="226">
        <f>'OPT2'!$A84</f>
        <v>0</v>
      </c>
    </row>
    <row r="86" spans="2:118" ht="25.2" customHeight="1">
      <c r="AD86" s="226" t="s">
        <v>641</v>
      </c>
      <c r="AE86" s="226">
        <f>IF($M$14&gt;0,ROUNDUP($AE$77*100/$M$14,0)*$AE$78*$AI$85,0)</f>
        <v>0</v>
      </c>
      <c r="AF86" s="253"/>
      <c r="AG86" s="298"/>
      <c r="AH86" s="261"/>
      <c r="AI86" s="261"/>
      <c r="AM86" s="247" t="s">
        <v>591</v>
      </c>
      <c r="AN86" s="247" t="s">
        <v>576</v>
      </c>
      <c r="AO86" s="247" t="s">
        <v>577</v>
      </c>
      <c r="AP86" s="247" t="s">
        <v>578</v>
      </c>
      <c r="AQ86" s="247" t="s">
        <v>579</v>
      </c>
      <c r="AR86" s="247" t="s">
        <v>595</v>
      </c>
      <c r="AS86" s="247" t="s">
        <v>596</v>
      </c>
      <c r="AT86" s="247" t="s">
        <v>621</v>
      </c>
      <c r="BY86" s="255"/>
      <c r="BZ86" s="256"/>
      <c r="CA86" s="256"/>
      <c r="CB86" s="256"/>
      <c r="DH86" s="226">
        <f>HLS!$A85</f>
        <v>0</v>
      </c>
      <c r="DI86" s="226">
        <f>LGS!$A85</f>
        <v>0</v>
      </c>
      <c r="DJ86" s="226">
        <f>FCS!$A85</f>
        <v>0</v>
      </c>
      <c r="DK86" s="226" t="str">
        <f>VDS!$A85</f>
        <v>Applaws - poulet œuf de thon</v>
      </c>
      <c r="DL86" s="251"/>
      <c r="DM86" s="226">
        <f>'OPT1'!$A85</f>
        <v>0</v>
      </c>
      <c r="DN86" s="226">
        <f>'OPT2'!$A85</f>
        <v>0</v>
      </c>
    </row>
    <row r="87" spans="2:118" ht="25.2" customHeight="1">
      <c r="AD87" s="226" t="s">
        <v>636</v>
      </c>
      <c r="AE87" s="226">
        <f>IF($M$14&gt;0,IF($AE$86&lt;($AE$84+0.1),$AE86,$AE85)*$AE$78*$AI$85,0)</f>
        <v>0</v>
      </c>
      <c r="AF87" s="298"/>
      <c r="AG87" s="298"/>
      <c r="AH87" s="261" t="s">
        <v>646</v>
      </c>
      <c r="AI87" s="261">
        <f>IF($BC$4=0,1,0)</f>
        <v>1</v>
      </c>
      <c r="AJ87" s="298"/>
      <c r="AM87" s="226" t="s">
        <v>657</v>
      </c>
      <c r="AN87" s="226" t="e">
        <f>$AN$79</f>
        <v>#VALUE!</v>
      </c>
      <c r="AO87" s="226">
        <f>$AO$79</f>
        <v>0</v>
      </c>
      <c r="AP87" s="226" t="e">
        <f>$AP$79</f>
        <v>#N/A</v>
      </c>
      <c r="AQ87" s="226" t="e">
        <f>IF($AQ$79+$AT$84&gt;0,$AQ$79+$AT$84,0)</f>
        <v>#N/A</v>
      </c>
      <c r="AR87" s="226">
        <f>$W$64</f>
        <v>0</v>
      </c>
      <c r="AS87" s="226">
        <f>$W$58</f>
        <v>0</v>
      </c>
      <c r="AT87" s="226">
        <v>2</v>
      </c>
      <c r="BY87" s="255"/>
      <c r="BZ87" s="256"/>
      <c r="CA87" s="256"/>
      <c r="CB87" s="256"/>
      <c r="DH87" s="226">
        <f>HLS!$A86</f>
        <v>0</v>
      </c>
      <c r="DI87" s="226">
        <f>LGS!$A86</f>
        <v>0</v>
      </c>
      <c r="DJ87" s="226">
        <f>FCS!$A86</f>
        <v>0</v>
      </c>
      <c r="DK87" s="226" t="str">
        <f>VDS!$A86</f>
        <v>Cosma - poulet foie de poulet</v>
      </c>
      <c r="DL87" s="251"/>
      <c r="DM87" s="226">
        <f>'OPT1'!$A86</f>
        <v>0</v>
      </c>
      <c r="DN87" s="226">
        <f>'OPT2'!$A86</f>
        <v>0</v>
      </c>
    </row>
    <row r="88" spans="2:118" ht="25.2" customHeight="1">
      <c r="V88" s="228"/>
      <c r="AD88" s="253" t="s">
        <v>642</v>
      </c>
      <c r="AE88" s="253">
        <f>IF($M$14&gt;0,IF(CTRL!C6&gt;0,ROUND(($AO$87+$AE$87)/1.25,0)*1.25,$AO$87),0)</f>
        <v>0</v>
      </c>
      <c r="AH88" s="269"/>
      <c r="AM88" s="226" t="s">
        <v>597</v>
      </c>
      <c r="AN88" s="226">
        <f>$AG$36</f>
        <v>0</v>
      </c>
      <c r="AO88" s="226">
        <f>$AG$38</f>
        <v>0</v>
      </c>
      <c r="AP88" s="226">
        <f>$AG$35</f>
        <v>0</v>
      </c>
      <c r="AQ88" s="226">
        <f>$AG$37</f>
        <v>0</v>
      </c>
      <c r="AR88" s="226">
        <f>$AG$32</f>
        <v>0</v>
      </c>
      <c r="AS88" s="226">
        <f>$AG$33</f>
        <v>0</v>
      </c>
      <c r="AT88" s="226">
        <f>$AG$34</f>
        <v>0</v>
      </c>
      <c r="BY88" s="255"/>
      <c r="BZ88" s="256"/>
      <c r="CA88" s="256"/>
      <c r="CB88" s="256"/>
      <c r="DH88" s="226">
        <f>HLS!$A87</f>
        <v>0</v>
      </c>
      <c r="DI88" s="226">
        <f>LGS!$A87</f>
        <v>0</v>
      </c>
      <c r="DJ88" s="226">
        <f>FCS!$A87</f>
        <v>0</v>
      </c>
      <c r="DK88" s="226" t="str">
        <f>VDS!$A87</f>
        <v>Hermann's - bœuf bio</v>
      </c>
      <c r="DL88" s="251"/>
      <c r="DM88" s="226">
        <f>'OPT1'!$A87</f>
        <v>0</v>
      </c>
      <c r="DN88" s="226">
        <f>'OPT2'!$A87</f>
        <v>0</v>
      </c>
    </row>
    <row r="89" spans="2:118" ht="25.2" customHeight="1">
      <c r="V89" s="228"/>
      <c r="AD89" s="226" t="s">
        <v>643</v>
      </c>
      <c r="AE89" s="226">
        <f>IF($M$14&gt;0,IF($AE$88&lt;($AE$83+0.1),$AE$88,$AE$83)*$AI$87,0)</f>
        <v>0</v>
      </c>
      <c r="AF89" s="229"/>
      <c r="AM89" s="226" t="s">
        <v>592</v>
      </c>
      <c r="AN89" s="226" t="e">
        <f t="shared" ref="AN89:AT89" si="3">AN87*AN88/100</f>
        <v>#VALUE!</v>
      </c>
      <c r="AO89" s="226">
        <f t="shared" si="3"/>
        <v>0</v>
      </c>
      <c r="AP89" s="226" t="e">
        <f t="shared" si="3"/>
        <v>#N/A</v>
      </c>
      <c r="AQ89" s="226" t="e">
        <f t="shared" si="3"/>
        <v>#N/A</v>
      </c>
      <c r="AR89" s="226">
        <f t="shared" si="3"/>
        <v>0</v>
      </c>
      <c r="AS89" s="226">
        <f t="shared" si="3"/>
        <v>0</v>
      </c>
      <c r="AT89" s="226">
        <f t="shared" si="3"/>
        <v>0</v>
      </c>
      <c r="BY89" s="255"/>
      <c r="BZ89" s="256"/>
      <c r="CA89" s="256"/>
      <c r="CB89" s="256"/>
      <c r="DH89" s="226">
        <f>HLS!$A88</f>
        <v>0</v>
      </c>
      <c r="DI89" s="226">
        <f>LGS!$A88</f>
        <v>0</v>
      </c>
      <c r="DJ89" s="226">
        <f>FCS!$A88</f>
        <v>0</v>
      </c>
      <c r="DK89" s="226" t="str">
        <f>VDS!$A88</f>
        <v>Hermann's - cheval</v>
      </c>
      <c r="DL89" s="251"/>
      <c r="DM89" s="226">
        <f>'OPT1'!$A88</f>
        <v>0</v>
      </c>
      <c r="DN89" s="226">
        <f>'OPT2'!$A88</f>
        <v>0</v>
      </c>
    </row>
    <row r="90" spans="2:118" ht="25.2" customHeight="1">
      <c r="V90" s="228"/>
      <c r="AD90" s="226" t="s">
        <v>772</v>
      </c>
      <c r="AE90" s="226">
        <f>IF($M$14&gt;0,((($AE$89-$AO$87)*$M$14)/100)*$AI$87,0)</f>
        <v>0</v>
      </c>
      <c r="AM90" s="226" t="s">
        <v>598</v>
      </c>
      <c r="AN90" s="226" t="e">
        <f>SUM(AN89:AT89)</f>
        <v>#VALUE!</v>
      </c>
      <c r="AO90" s="226"/>
      <c r="AP90" s="226"/>
      <c r="AQ90" s="226"/>
      <c r="AR90" s="226"/>
      <c r="AS90" s="226"/>
      <c r="AT90" s="226"/>
      <c r="BY90" s="255"/>
      <c r="BZ90" s="256"/>
      <c r="CA90" s="256"/>
      <c r="CB90" s="256"/>
      <c r="DH90" s="226">
        <f>HLS!$A89</f>
        <v>0</v>
      </c>
      <c r="DI90" s="226">
        <f>LGS!$A89</f>
        <v>0</v>
      </c>
      <c r="DJ90" s="226">
        <f>FCS!$A89</f>
        <v>0</v>
      </c>
      <c r="DK90" s="226" t="str">
        <f>VDS!$A89</f>
        <v>Schesir - thon bar</v>
      </c>
      <c r="DL90" s="251"/>
      <c r="DM90" s="226">
        <f>'OPT1'!$A89</f>
        <v>0</v>
      </c>
      <c r="DN90" s="226">
        <f>'OPT2'!$A89</f>
        <v>0</v>
      </c>
    </row>
    <row r="91" spans="2:118" ht="25.2" customHeight="1">
      <c r="V91" s="228"/>
      <c r="AD91" s="226" t="s">
        <v>590</v>
      </c>
      <c r="AE91" s="226" t="e">
        <f>$AE$77-$AE$90</f>
        <v>#VALUE!</v>
      </c>
      <c r="AH91" s="247"/>
      <c r="AM91" s="226" t="s">
        <v>599</v>
      </c>
      <c r="AN91" s="226" t="e">
        <f>AN89*100/$AN$90</f>
        <v>#VALUE!</v>
      </c>
      <c r="AO91" s="226" t="e">
        <f t="shared" ref="AO91:AT91" si="4">AO89*100/$AN$90</f>
        <v>#VALUE!</v>
      </c>
      <c r="AP91" s="226" t="e">
        <f t="shared" si="4"/>
        <v>#N/A</v>
      </c>
      <c r="AQ91" s="226" t="e">
        <f t="shared" si="4"/>
        <v>#N/A</v>
      </c>
      <c r="AR91" s="226" t="e">
        <f t="shared" si="4"/>
        <v>#VALUE!</v>
      </c>
      <c r="AS91" s="226" t="e">
        <f t="shared" si="4"/>
        <v>#VALUE!</v>
      </c>
      <c r="AT91" s="226" t="e">
        <f t="shared" si="4"/>
        <v>#VALUE!</v>
      </c>
      <c r="BY91" s="255"/>
      <c r="BZ91" s="256"/>
      <c r="CA91" s="256"/>
      <c r="CB91" s="256"/>
      <c r="DH91" s="226">
        <f>HLS!$A90</f>
        <v>0</v>
      </c>
      <c r="DI91" s="226">
        <f>LGS!$A90</f>
        <v>0</v>
      </c>
      <c r="DJ91" s="226">
        <f>FCS!$A90</f>
        <v>0</v>
      </c>
      <c r="DK91" s="226" t="str">
        <f>VDS!$A90</f>
        <v>Schesir - filet de poulet bar</v>
      </c>
      <c r="DL91" s="251"/>
      <c r="DM91" s="226">
        <f>'OPT1'!$A90</f>
        <v>0</v>
      </c>
      <c r="DN91" s="226">
        <f>'OPT2'!$A90</f>
        <v>0</v>
      </c>
    </row>
    <row r="92" spans="2:118" ht="25.2" customHeight="1">
      <c r="V92" s="228"/>
      <c r="AD92" s="226" t="s">
        <v>620</v>
      </c>
      <c r="AE92" s="226" t="e">
        <f>IF(AE91&gt;0,1,0)</f>
        <v>#VALUE!</v>
      </c>
      <c r="AH92" s="261"/>
      <c r="BY92" s="255"/>
      <c r="BZ92" s="256"/>
      <c r="CA92" s="256"/>
      <c r="CB92" s="256"/>
      <c r="DH92" s="226">
        <f>HLS!$A91</f>
        <v>0</v>
      </c>
      <c r="DI92" s="226">
        <f>LGS!$A91</f>
        <v>0</v>
      </c>
      <c r="DJ92" s="226">
        <f>FCS!$A91</f>
        <v>0</v>
      </c>
      <c r="DK92" s="226">
        <f>VDS!$A91</f>
        <v>0</v>
      </c>
      <c r="DL92" s="251"/>
      <c r="DM92" s="226">
        <f>'OPT1'!$A91</f>
        <v>0</v>
      </c>
      <c r="DN92" s="226">
        <f>'OPT2'!$A91</f>
        <v>0</v>
      </c>
    </row>
    <row r="93" spans="2:118" ht="25.2" customHeight="1">
      <c r="AD93" s="226"/>
      <c r="AE93" s="226"/>
      <c r="AM93" s="247" t="s">
        <v>600</v>
      </c>
      <c r="AN93" s="247" t="s">
        <v>576</v>
      </c>
      <c r="AO93" s="247" t="s">
        <v>577</v>
      </c>
      <c r="AP93" s="247" t="s">
        <v>578</v>
      </c>
      <c r="AQ93" s="247" t="s">
        <v>579</v>
      </c>
      <c r="AR93" s="247" t="s">
        <v>595</v>
      </c>
      <c r="AS93" s="247" t="s">
        <v>596</v>
      </c>
      <c r="AT93" s="247" t="s">
        <v>10</v>
      </c>
      <c r="BY93" s="255"/>
      <c r="BZ93" s="256"/>
      <c r="CA93" s="256"/>
      <c r="CB93" s="256"/>
      <c r="DH93" s="226">
        <f>HLS!$A92</f>
        <v>0</v>
      </c>
      <c r="DI93" s="226">
        <f>LGS!$A92</f>
        <v>0</v>
      </c>
      <c r="DJ93" s="226">
        <f>FCS!$A92</f>
        <v>0</v>
      </c>
      <c r="DK93" s="226">
        <f>VDS!$A92</f>
        <v>0</v>
      </c>
      <c r="DL93" s="251"/>
      <c r="DM93" s="226">
        <f>'OPT1'!$A92</f>
        <v>0</v>
      </c>
      <c r="DN93" s="226">
        <f>'OPT2'!$A92</f>
        <v>0</v>
      </c>
    </row>
    <row r="94" spans="2:118" ht="25.2" customHeight="1">
      <c r="AD94" s="242" t="s">
        <v>647</v>
      </c>
      <c r="AE94" s="279"/>
      <c r="AH94" s="242" t="s">
        <v>648</v>
      </c>
      <c r="AI94" s="238"/>
      <c r="AM94" s="226" t="s">
        <v>601</v>
      </c>
      <c r="AN94" s="226" t="e">
        <f>$AE$36/100*AN$87</f>
        <v>#VALUE!</v>
      </c>
      <c r="AO94" s="226">
        <f>$AE$38/100*AO$87</f>
        <v>0</v>
      </c>
      <c r="AP94" s="226" t="e">
        <f>$AE$35/100*AP$87</f>
        <v>#N/A</v>
      </c>
      <c r="AQ94" s="226" t="e">
        <f>$AE$37/100*AQ$87</f>
        <v>#N/A</v>
      </c>
      <c r="AR94" s="226">
        <f>$AE$32/100*AR$87</f>
        <v>0</v>
      </c>
      <c r="AS94" s="226">
        <f>$AE$33/100*AS$87</f>
        <v>0</v>
      </c>
      <c r="AT94" s="226">
        <f>$AE$34/100*AT$87</f>
        <v>0</v>
      </c>
      <c r="BY94" s="255"/>
      <c r="BZ94" s="256"/>
      <c r="CA94" s="256"/>
      <c r="CB94" s="256"/>
      <c r="DH94" s="226">
        <f>HLS!$A93</f>
        <v>0</v>
      </c>
      <c r="DI94" s="226">
        <f>LGS!$A93</f>
        <v>0</v>
      </c>
      <c r="DJ94" s="226">
        <f>FCS!$A93</f>
        <v>0</v>
      </c>
      <c r="DK94" s="226">
        <f>VDS!$A93</f>
        <v>0</v>
      </c>
      <c r="DL94" s="251"/>
      <c r="DM94" s="226">
        <f>'OPT1'!$A93</f>
        <v>0</v>
      </c>
      <c r="DN94" s="226">
        <f>'OPT2'!$A93</f>
        <v>0</v>
      </c>
    </row>
    <row r="95" spans="2:118" ht="25.2" customHeight="1">
      <c r="W95" s="240" t="s">
        <v>873</v>
      </c>
      <c r="X95" s="238"/>
      <c r="Y95" s="238"/>
      <c r="Z95" s="238"/>
      <c r="AD95" s="226" t="s">
        <v>651</v>
      </c>
      <c r="AE95" s="226" t="e">
        <f>IF($AE$92&gt;0,ROUNDDOWN($AE$91*100/$M$11,0),0)*$AI$99</f>
        <v>#VALUE!</v>
      </c>
      <c r="AH95" s="279" t="str">
        <f>CTRL!B8</f>
        <v>actif</v>
      </c>
      <c r="AI95" s="238"/>
      <c r="AM95" s="226" t="s">
        <v>602</v>
      </c>
      <c r="AN95" s="226" t="e">
        <f>$AF$36/100*AN$87</f>
        <v>#VALUE!</v>
      </c>
      <c r="AO95" s="226">
        <f>$AF$38/100*AO$87</f>
        <v>0</v>
      </c>
      <c r="AP95" s="226" t="e">
        <f>$AF$35/100*AP$87</f>
        <v>#N/A</v>
      </c>
      <c r="AQ95" s="226" t="e">
        <f>$AF$37/100*AQ$87</f>
        <v>#N/A</v>
      </c>
      <c r="AR95" s="226">
        <f>$AF$32/100*AR$87</f>
        <v>0</v>
      </c>
      <c r="AS95" s="226">
        <f>$AF$33/100*AS$87</f>
        <v>0</v>
      </c>
      <c r="AT95" s="226">
        <f>$AF$34/100*AT$87</f>
        <v>0</v>
      </c>
      <c r="BY95" s="255"/>
      <c r="BZ95" s="256"/>
      <c r="CA95" s="256"/>
      <c r="CB95" s="256"/>
      <c r="DH95" s="226">
        <f>HLS!$A94</f>
        <v>0</v>
      </c>
      <c r="DI95" s="226">
        <f>LGS!$A94</f>
        <v>0</v>
      </c>
      <c r="DJ95" s="226">
        <f>FCS!$A94</f>
        <v>0</v>
      </c>
      <c r="DK95" s="226">
        <f>VDS!$A94</f>
        <v>0</v>
      </c>
      <c r="DL95" s="251"/>
      <c r="DM95" s="226">
        <f>'OPT1'!$A94</f>
        <v>0</v>
      </c>
      <c r="DN95" s="226">
        <f>'OPT2'!$A94</f>
        <v>0</v>
      </c>
    </row>
    <row r="96" spans="2:118" ht="25.2" customHeight="1">
      <c r="W96" s="238"/>
      <c r="X96" s="238"/>
      <c r="Y96" s="238"/>
      <c r="Z96" s="238"/>
      <c r="AD96" s="226" t="s">
        <v>772</v>
      </c>
      <c r="AE96" s="226" t="e">
        <f>IF($AE$92&gt;0,$AE$95*$M$11/100*$AI$99,0)</f>
        <v>#VALUE!</v>
      </c>
      <c r="AH96" s="238"/>
      <c r="AI96" s="238"/>
      <c r="AM96" s="226" t="s">
        <v>603</v>
      </c>
      <c r="AN96" s="226" t="e">
        <f>$AH$36/100*AN$87</f>
        <v>#VALUE!</v>
      </c>
      <c r="AO96" s="226">
        <f>$AH$38/100*AO$87</f>
        <v>0</v>
      </c>
      <c r="AP96" s="226" t="e">
        <f>$AH$35/100*AP$87</f>
        <v>#N/A</v>
      </c>
      <c r="AQ96" s="226" t="e">
        <f>$AH$37/100*AQ$87</f>
        <v>#N/A</v>
      </c>
      <c r="AR96" s="226">
        <f>$AH$32/100*AR$87</f>
        <v>0</v>
      </c>
      <c r="AS96" s="226">
        <f>$AH$33/100*AS$87</f>
        <v>0</v>
      </c>
      <c r="AT96" s="226">
        <f>$AH$34/100*AT$87</f>
        <v>0</v>
      </c>
      <c r="BY96" s="255"/>
      <c r="BZ96" s="256"/>
      <c r="CA96" s="256"/>
      <c r="CB96" s="256"/>
      <c r="DH96" s="226">
        <f>HLS!$A95</f>
        <v>0</v>
      </c>
      <c r="DI96" s="226">
        <f>LGS!$A95</f>
        <v>0</v>
      </c>
      <c r="DJ96" s="226">
        <f>FCS!$A95</f>
        <v>0</v>
      </c>
      <c r="DK96" s="226">
        <f>VDS!$A95</f>
        <v>0</v>
      </c>
      <c r="DL96" s="251"/>
      <c r="DM96" s="226">
        <f>'OPT1'!$A95</f>
        <v>0</v>
      </c>
      <c r="DN96" s="226">
        <f>'OPT2'!$A95</f>
        <v>0</v>
      </c>
    </row>
    <row r="97" spans="23:118" ht="25.2" customHeight="1">
      <c r="W97" s="238"/>
      <c r="X97" s="238"/>
      <c r="Y97" s="238"/>
      <c r="Z97" s="238"/>
      <c r="AD97" s="226" t="s">
        <v>652</v>
      </c>
      <c r="AE97" s="226" t="e">
        <f>$AE$95+$AP$87</f>
        <v>#VALUE!</v>
      </c>
      <c r="AM97" s="226" t="s">
        <v>604</v>
      </c>
      <c r="AN97" s="226" t="e">
        <f>$AI$36/100*AN$87</f>
        <v>#VALUE!</v>
      </c>
      <c r="AO97" s="226">
        <f>$AI$38/100*AO$87</f>
        <v>0</v>
      </c>
      <c r="AP97" s="226" t="e">
        <f>$AI$35/100*AP$87</f>
        <v>#N/A</v>
      </c>
      <c r="AQ97" s="226" t="e">
        <f>$AI$37/100*AQ$87</f>
        <v>#N/A</v>
      </c>
      <c r="AR97" s="226">
        <f>$AI$32/100*AR$87</f>
        <v>0</v>
      </c>
      <c r="AS97" s="226">
        <f>$AI$33/100*AS$87</f>
        <v>0</v>
      </c>
      <c r="AT97" s="226">
        <f>$AI$34/100*AT$87</f>
        <v>0</v>
      </c>
      <c r="BY97" s="255"/>
      <c r="BZ97" s="256"/>
      <c r="CA97" s="256"/>
      <c r="CB97" s="256"/>
      <c r="DH97" s="226">
        <f>HLS!$A96</f>
        <v>0</v>
      </c>
      <c r="DI97" s="226">
        <f>LGS!$A96</f>
        <v>0</v>
      </c>
      <c r="DJ97" s="226">
        <f>FCS!$A96</f>
        <v>0</v>
      </c>
      <c r="DK97" s="226">
        <f>VDS!$A96</f>
        <v>0</v>
      </c>
      <c r="DL97" s="251"/>
      <c r="DM97" s="226">
        <f>'OPT1'!$A96</f>
        <v>0</v>
      </c>
      <c r="DN97" s="226">
        <f>'OPT2'!$A96</f>
        <v>0</v>
      </c>
    </row>
    <row r="98" spans="23:118" ht="25.2" customHeight="1">
      <c r="W98" s="226" t="s">
        <v>874</v>
      </c>
      <c r="X98" s="226">
        <v>1</v>
      </c>
      <c r="Y98" s="229" t="s">
        <v>875</v>
      </c>
      <c r="AD98" s="226" t="s">
        <v>590</v>
      </c>
      <c r="AE98" s="226" t="e">
        <f>AE91-AE96</f>
        <v>#VALUE!</v>
      </c>
      <c r="AH98" s="261" t="s">
        <v>649</v>
      </c>
      <c r="AI98" s="261">
        <f>$M$11/100</f>
        <v>0</v>
      </c>
      <c r="AM98" s="226" t="s">
        <v>606</v>
      </c>
      <c r="AN98" s="226" t="e">
        <f>SUM(AN94:AT94)</f>
        <v>#VALUE!</v>
      </c>
      <c r="AO98" s="226"/>
      <c r="AP98" s="226"/>
      <c r="AQ98" s="226"/>
      <c r="AR98" s="226"/>
      <c r="AS98" s="226"/>
      <c r="AT98" s="226"/>
      <c r="BY98" s="255"/>
      <c r="BZ98" s="256"/>
      <c r="CA98" s="256"/>
      <c r="CB98" s="256"/>
      <c r="DH98" s="226">
        <f>HLS!$A97</f>
        <v>0</v>
      </c>
      <c r="DI98" s="226">
        <f>LGS!$A97</f>
        <v>0</v>
      </c>
      <c r="DJ98" s="226">
        <f>FCS!$A97</f>
        <v>0</v>
      </c>
      <c r="DK98" s="226">
        <f>VDS!$A97</f>
        <v>0</v>
      </c>
      <c r="DL98" s="251"/>
      <c r="DM98" s="226">
        <f>'OPT1'!$A97</f>
        <v>0</v>
      </c>
      <c r="DN98" s="226">
        <f>'OPT2'!$A97</f>
        <v>0</v>
      </c>
    </row>
    <row r="99" spans="23:118" ht="25.2" customHeight="1">
      <c r="W99" s="226" t="s">
        <v>884</v>
      </c>
      <c r="X99" s="226">
        <v>0.5</v>
      </c>
      <c r="Y99" s="229" t="s">
        <v>876</v>
      </c>
      <c r="AD99" s="226" t="s">
        <v>653</v>
      </c>
      <c r="AE99" s="226" t="e">
        <f>ROUND((100*$AE$98)/$AS$75,2)</f>
        <v>#VALUE!</v>
      </c>
      <c r="AH99" s="261" t="s">
        <v>645</v>
      </c>
      <c r="AI99" s="261" t="e">
        <f>IF(ROUNDDOWN($AE$91/$AI$98,0)&gt;0,1,0)</f>
        <v>#VALUE!</v>
      </c>
      <c r="AM99" s="226" t="s">
        <v>605</v>
      </c>
      <c r="AN99" s="226" t="e">
        <f>SUM(AN95:AT95)</f>
        <v>#VALUE!</v>
      </c>
      <c r="AO99" s="226"/>
      <c r="AP99" s="226"/>
      <c r="AQ99" s="226"/>
      <c r="AR99" s="226"/>
      <c r="AS99" s="226"/>
      <c r="AT99" s="226"/>
      <c r="BY99" s="255"/>
      <c r="BZ99" s="256"/>
      <c r="CA99" s="256"/>
      <c r="CB99" s="256"/>
      <c r="DH99" s="226">
        <f>HLS!$A98</f>
        <v>0</v>
      </c>
      <c r="DI99" s="226">
        <f>LGS!$A98</f>
        <v>0</v>
      </c>
      <c r="DJ99" s="226">
        <f>FCS!$A98</f>
        <v>0</v>
      </c>
      <c r="DK99" s="226">
        <f>VDS!$A98</f>
        <v>0</v>
      </c>
      <c r="DL99" s="251"/>
      <c r="DM99" s="226">
        <f>'OPT1'!$A98</f>
        <v>0</v>
      </c>
      <c r="DN99" s="226">
        <f>'OPT2'!$A98</f>
        <v>0</v>
      </c>
    </row>
    <row r="100" spans="23:118" ht="25.2" customHeight="1">
      <c r="AH100" s="269"/>
      <c r="AM100" s="226" t="s">
        <v>607</v>
      </c>
      <c r="AN100" s="226" t="e">
        <f>SUM(AN96:AT96)</f>
        <v>#VALUE!</v>
      </c>
      <c r="AO100" s="226"/>
      <c r="AP100" s="226"/>
      <c r="AQ100" s="226"/>
      <c r="AR100" s="226"/>
      <c r="AS100" s="226"/>
      <c r="AT100" s="226"/>
      <c r="BY100" s="255"/>
      <c r="BZ100" s="256"/>
      <c r="CA100" s="256"/>
      <c r="CB100" s="256"/>
      <c r="DH100" s="226">
        <f>HLS!$A99</f>
        <v>0</v>
      </c>
      <c r="DI100" s="226">
        <f>LGS!$A99</f>
        <v>0</v>
      </c>
      <c r="DJ100" s="226">
        <f>FCS!$A99</f>
        <v>0</v>
      </c>
      <c r="DK100" s="226">
        <f>VDS!$A99</f>
        <v>0</v>
      </c>
      <c r="DL100" s="251"/>
      <c r="DM100" s="226">
        <f>'OPT1'!$A99</f>
        <v>0</v>
      </c>
      <c r="DN100" s="226">
        <f>'OPT2'!$A99</f>
        <v>0</v>
      </c>
    </row>
    <row r="101" spans="23:118" ht="25.2" customHeight="1">
      <c r="W101" s="226" t="s">
        <v>877</v>
      </c>
      <c r="X101" s="226">
        <f>IF($I$9&gt;0,VLOOKUP($I$9,$W$98:$Y$99,2,0),1)</f>
        <v>1</v>
      </c>
      <c r="Y101" s="226" t="s">
        <v>909</v>
      </c>
      <c r="Z101" s="226">
        <f>IF($AA$54=8,IF(X101=0.5,IF($Z$31/$X$101&lt;CTRL!G17,-1,0),0),0)</f>
        <v>0</v>
      </c>
      <c r="AM101" s="226" t="s">
        <v>608</v>
      </c>
      <c r="AN101" s="226" t="e">
        <f>SUM(AN97:AT97)</f>
        <v>#VALUE!</v>
      </c>
      <c r="AO101" s="226"/>
      <c r="AP101" s="226"/>
      <c r="AQ101" s="226"/>
      <c r="AR101" s="226"/>
      <c r="AS101" s="226"/>
      <c r="AT101" s="226"/>
      <c r="BY101" s="255"/>
      <c r="BZ101" s="256"/>
      <c r="CA101" s="256"/>
      <c r="CB101" s="256"/>
      <c r="DH101" s="226">
        <f>HLS!$A100</f>
        <v>0</v>
      </c>
      <c r="DI101" s="226">
        <f>LGS!$A100</f>
        <v>0</v>
      </c>
      <c r="DJ101" s="226">
        <f>FCS!$A100</f>
        <v>0</v>
      </c>
      <c r="DK101" s="226">
        <f>VDS!$A100</f>
        <v>0</v>
      </c>
      <c r="DL101" s="251"/>
      <c r="DM101" s="226">
        <f>'OPT1'!$A100</f>
        <v>0</v>
      </c>
      <c r="DN101" s="226">
        <f>'OPT2'!$A100</f>
        <v>0</v>
      </c>
    </row>
    <row r="102" spans="23:118" ht="25.2" customHeight="1">
      <c r="W102" s="226" t="s">
        <v>878</v>
      </c>
      <c r="X102" s="226">
        <f>IF($I$8&lt;&gt;CMV!$A$12,IF($I$8&lt;&gt;CMV!$A$15,1,0.5),0.5)</f>
        <v>1</v>
      </c>
      <c r="BY102" s="255"/>
      <c r="BZ102" s="256"/>
      <c r="CA102" s="256"/>
      <c r="CB102" s="256"/>
    </row>
    <row r="103" spans="23:118" ht="25.2" customHeight="1">
      <c r="W103" s="226" t="s">
        <v>879</v>
      </c>
      <c r="X103" s="226">
        <f>IF($X$102&lt;1,IF($X$101&lt;1,0,-1),0)</f>
        <v>0</v>
      </c>
      <c r="AM103" s="226" t="s">
        <v>609</v>
      </c>
      <c r="AN103" s="226" t="e">
        <f>AN90+AN98+AN99+AN100+AN101</f>
        <v>#VALUE!</v>
      </c>
      <c r="AP103" s="226" t="s">
        <v>610</v>
      </c>
      <c r="AQ103" s="226" t="s">
        <v>611</v>
      </c>
      <c r="AR103" s="226" t="s">
        <v>612</v>
      </c>
      <c r="AS103" s="226" t="s">
        <v>613</v>
      </c>
      <c r="AT103" s="226" t="s">
        <v>614</v>
      </c>
      <c r="BY103" s="255"/>
      <c r="BZ103" s="256"/>
      <c r="CA103" s="256"/>
      <c r="CB103" s="256"/>
    </row>
    <row r="104" spans="23:118" ht="25.2" customHeight="1">
      <c r="AO104" s="284" t="str">
        <f>"% sur MS  "</f>
        <v xml:space="preserve">% sur MS  </v>
      </c>
      <c r="AP104" s="226" t="e">
        <f>$AN98*100/$AN$103</f>
        <v>#VALUE!</v>
      </c>
      <c r="AQ104" s="226" t="e">
        <f>$AN99*100/$AN$103</f>
        <v>#VALUE!</v>
      </c>
      <c r="AR104" s="226" t="e">
        <f>$AN90*100/$AN$103</f>
        <v>#VALUE!</v>
      </c>
      <c r="AS104" s="226" t="e">
        <f>$AN100*100/$AN$103</f>
        <v>#VALUE!</v>
      </c>
      <c r="AT104" s="226" t="e">
        <f>$AN101*100/$AN$103</f>
        <v>#VALUE!</v>
      </c>
      <c r="BY104" s="255"/>
      <c r="BZ104" s="256"/>
      <c r="CA104" s="256"/>
      <c r="CB104" s="256"/>
    </row>
    <row r="105" spans="23:118" ht="25.2" customHeight="1">
      <c r="W105" s="226" t="s">
        <v>880</v>
      </c>
      <c r="X105" s="239" t="str">
        <f>"
NE PAS OUBLIER d'apporter le reste de la ration en croquettes !"</f>
        <v xml:space="preserve">
NE PAS OUBLIER d'apporter le reste de la ration en croquettes !</v>
      </c>
      <c r="BY105" s="255"/>
      <c r="BZ105" s="256"/>
      <c r="CA105" s="256"/>
      <c r="CB105" s="256"/>
    </row>
    <row r="106" spans="23:118" ht="25.2" customHeight="1">
      <c r="W106" s="226" t="s">
        <v>881</v>
      </c>
      <c r="X106" s="239" t="str">
        <f>IF($X$101&lt;1,$X$105,"")</f>
        <v/>
      </c>
      <c r="Y106" s="239"/>
      <c r="Z106" s="239"/>
      <c r="AM106" s="226" t="s">
        <v>617</v>
      </c>
      <c r="AN106" s="226" t="e">
        <f>(AN87*$M$12/100)+(AO87*$M$14/100)+(AP87*$M$11/100)+(AQ87*$M$13/100)</f>
        <v>#VALUE!</v>
      </c>
      <c r="AO106" s="226" t="s">
        <v>618</v>
      </c>
      <c r="BY106" s="255"/>
      <c r="BZ106" s="256"/>
      <c r="CA106" s="256"/>
      <c r="CB106" s="256"/>
    </row>
    <row r="107" spans="23:118" ht="25.2" customHeight="1">
      <c r="AM107" s="226" t="s">
        <v>590</v>
      </c>
      <c r="AN107" s="226" t="e">
        <f>$AT$81-$AN$106</f>
        <v>#VALUE!</v>
      </c>
      <c r="AO107" s="226"/>
      <c r="BY107" s="255"/>
      <c r="BZ107" s="256"/>
      <c r="CA107" s="256"/>
      <c r="CB107" s="256"/>
    </row>
    <row r="108" spans="23:118" ht="25.2" customHeight="1">
      <c r="AM108" s="226" t="s">
        <v>620</v>
      </c>
      <c r="AN108" s="226" t="e">
        <f>IF(AN107&gt;0,1,0)</f>
        <v>#VALUE!</v>
      </c>
      <c r="BY108" s="255"/>
      <c r="BZ108" s="256"/>
      <c r="CA108" s="256"/>
      <c r="CB108" s="256"/>
    </row>
    <row r="109" spans="23:118" ht="25.2" customHeight="1">
      <c r="BY109" s="255"/>
      <c r="BZ109" s="256"/>
      <c r="CA109" s="256"/>
      <c r="CB109" s="256"/>
    </row>
    <row r="110" spans="23:118" ht="25.2" customHeight="1">
      <c r="BY110" s="255"/>
      <c r="BZ110" s="256"/>
      <c r="CA110" s="256"/>
      <c r="CB110" s="256"/>
    </row>
    <row r="111" spans="23:118" ht="25.2" customHeight="1">
      <c r="BY111" s="255"/>
      <c r="BZ111" s="256"/>
      <c r="CA111" s="256"/>
      <c r="CB111" s="256"/>
    </row>
    <row r="112" spans="23:118" ht="25.2" customHeight="1">
      <c r="AM112" s="293" t="s">
        <v>655</v>
      </c>
      <c r="AN112" s="293"/>
      <c r="AO112" s="293"/>
      <c r="AP112" s="293"/>
      <c r="AQ112" s="293"/>
      <c r="AR112" s="293"/>
      <c r="AS112" s="293"/>
      <c r="AT112" s="293"/>
      <c r="BY112" s="255"/>
      <c r="BZ112" s="256"/>
      <c r="CA112" s="256"/>
      <c r="CB112" s="256"/>
    </row>
    <row r="113" spans="39:80" ht="25.2" customHeight="1">
      <c r="BY113" s="255"/>
      <c r="BZ113" s="256"/>
      <c r="CA113" s="256"/>
      <c r="CB113" s="256"/>
    </row>
    <row r="114" spans="39:80" ht="25.2" customHeight="1">
      <c r="AM114" s="247" t="s">
        <v>622</v>
      </c>
      <c r="AN114" s="247" t="s">
        <v>576</v>
      </c>
      <c r="AO114" s="247" t="s">
        <v>577</v>
      </c>
      <c r="AP114" s="247" t="s">
        <v>594</v>
      </c>
      <c r="AQ114" s="247" t="s">
        <v>593</v>
      </c>
      <c r="AR114" s="247" t="s">
        <v>578</v>
      </c>
      <c r="BY114" s="255"/>
      <c r="BZ114" s="256"/>
      <c r="CA114" s="256"/>
      <c r="CB114" s="256"/>
    </row>
    <row r="115" spans="39:80" ht="25.2" customHeight="1">
      <c r="AM115" s="226" t="s">
        <v>580</v>
      </c>
      <c r="AN115" s="226" t="e">
        <f>$AN$79</f>
        <v>#VALUE!</v>
      </c>
      <c r="AO115" s="226">
        <f>$AO$79</f>
        <v>0</v>
      </c>
      <c r="AP115" s="226">
        <f>$AS$87</f>
        <v>0</v>
      </c>
      <c r="AQ115" s="226">
        <f>$AR$87</f>
        <v>0</v>
      </c>
      <c r="AR115" s="226" t="e">
        <f>IF($AN$119&gt;$AP$79,$AN$119,$AP$79)</f>
        <v>#VALUE!</v>
      </c>
      <c r="BY115" s="255"/>
      <c r="BZ115" s="256"/>
      <c r="CA115" s="256"/>
      <c r="CB115" s="256"/>
    </row>
    <row r="116" spans="39:80" ht="25.2" customHeight="1">
      <c r="AM116" s="226" t="s">
        <v>584</v>
      </c>
      <c r="AN116" s="226" t="e">
        <f>$AN$80</f>
        <v>#VALUE!</v>
      </c>
      <c r="AO116" s="226">
        <f>$AO$80</f>
        <v>0</v>
      </c>
      <c r="AP116" s="226">
        <f>$AT$78</f>
        <v>0</v>
      </c>
      <c r="AQ116" s="226">
        <f>$AT$79</f>
        <v>0</v>
      </c>
      <c r="AR116" s="226" t="e">
        <f>($AN$119*$M$11)/100</f>
        <v>#VALUE!</v>
      </c>
      <c r="BY116" s="255"/>
      <c r="BZ116" s="256"/>
      <c r="CA116" s="256"/>
      <c r="CB116" s="256"/>
    </row>
    <row r="117" spans="39:80" ht="25.2" customHeight="1">
      <c r="AM117" s="226" t="s">
        <v>623</v>
      </c>
      <c r="AN117" s="226" t="e">
        <f>SUM($AN$116:$AQ$116)</f>
        <v>#VALUE!</v>
      </c>
      <c r="AP117" s="226"/>
      <c r="AQ117" s="226"/>
      <c r="AR117" s="226" t="e">
        <f>SUM($AN$116:$AR$116)</f>
        <v>#VALUE!</v>
      </c>
      <c r="BY117" s="255"/>
      <c r="BZ117" s="256"/>
      <c r="CA117" s="256"/>
      <c r="CB117" s="256"/>
    </row>
    <row r="118" spans="39:80" ht="25.2" customHeight="1">
      <c r="AM118" s="226" t="s">
        <v>588</v>
      </c>
      <c r="AN118" s="226" t="e">
        <f>$AS$75</f>
        <v>#VALUE!</v>
      </c>
      <c r="AO118" s="226" t="e">
        <f>$AN$118-$AN$117</f>
        <v>#VALUE!</v>
      </c>
      <c r="BY118" s="255"/>
      <c r="BZ118" s="256"/>
      <c r="CA118" s="256"/>
      <c r="CB118" s="256"/>
    </row>
    <row r="119" spans="39:80" ht="25.2" customHeight="1">
      <c r="AM119" s="226" t="s">
        <v>624</v>
      </c>
      <c r="AN119" s="226" t="e">
        <f>ROUND($AO$118/$M$11*100,0)</f>
        <v>#VALUE!</v>
      </c>
      <c r="BY119" s="255"/>
      <c r="BZ119" s="256"/>
      <c r="CA119" s="256"/>
      <c r="CB119" s="256"/>
    </row>
    <row r="120" spans="39:80" ht="25.2" customHeight="1">
      <c r="BY120" s="255"/>
      <c r="BZ120" s="256"/>
      <c r="CA120" s="256"/>
      <c r="CB120" s="256"/>
    </row>
    <row r="121" spans="39:80" ht="25.2" customHeight="1">
      <c r="AM121" s="247" t="s">
        <v>656</v>
      </c>
      <c r="AN121" s="247" t="s">
        <v>576</v>
      </c>
      <c r="AO121" s="247" t="s">
        <v>577</v>
      </c>
      <c r="AP121" s="247" t="s">
        <v>578</v>
      </c>
      <c r="AQ121" s="247" t="s">
        <v>579</v>
      </c>
      <c r="AR121" s="247" t="s">
        <v>595</v>
      </c>
      <c r="AS121" s="247" t="s">
        <v>596</v>
      </c>
      <c r="AT121" s="247" t="s">
        <v>621</v>
      </c>
      <c r="BY121" s="255"/>
      <c r="BZ121" s="256"/>
      <c r="CA121" s="256"/>
      <c r="CB121" s="256"/>
    </row>
    <row r="122" spans="39:80" ht="25.2" customHeight="1">
      <c r="AM122" s="226" t="s">
        <v>657</v>
      </c>
      <c r="AN122" s="226" t="e">
        <f>AN115</f>
        <v>#VALUE!</v>
      </c>
      <c r="AO122" s="226">
        <f>AO115</f>
        <v>0</v>
      </c>
      <c r="AP122" s="226" t="e">
        <f>AR115</f>
        <v>#VALUE!</v>
      </c>
      <c r="AQ122" s="226">
        <v>0</v>
      </c>
      <c r="AR122" s="226">
        <f>AQ115</f>
        <v>0</v>
      </c>
      <c r="AS122" s="226">
        <f>AP115</f>
        <v>0</v>
      </c>
      <c r="AT122" s="226">
        <v>2</v>
      </c>
      <c r="BY122" s="255"/>
      <c r="BZ122" s="256"/>
      <c r="CA122" s="256"/>
      <c r="CB122" s="256"/>
    </row>
    <row r="123" spans="39:80" ht="25.2" customHeight="1">
      <c r="AM123" s="226" t="s">
        <v>602</v>
      </c>
      <c r="AN123" s="226" t="e">
        <f>$AF$36/100*AN$122</f>
        <v>#VALUE!</v>
      </c>
      <c r="AO123" s="226">
        <f>$AF$38/100*AO$122</f>
        <v>0</v>
      </c>
      <c r="AP123" s="226" t="e">
        <f>$AF$35/100*AP$122</f>
        <v>#VALUE!</v>
      </c>
      <c r="AQ123" s="226">
        <f>$AF$37/100*AQ$122</f>
        <v>0</v>
      </c>
      <c r="AR123" s="226">
        <f>$AF$32/100*AR$122</f>
        <v>0</v>
      </c>
      <c r="AS123" s="226">
        <f>$AF$33/100*AS$122</f>
        <v>0</v>
      </c>
      <c r="AT123" s="226">
        <f>$AF$34/100*AT$122</f>
        <v>0</v>
      </c>
      <c r="BY123" s="255"/>
      <c r="BZ123" s="256"/>
      <c r="CA123" s="256"/>
      <c r="CB123" s="256"/>
    </row>
    <row r="124" spans="39:80" ht="25.2" customHeight="1">
      <c r="AM124" s="226" t="s">
        <v>658</v>
      </c>
      <c r="AN124" s="226" t="e">
        <f>$AG$36/100*AN$122</f>
        <v>#VALUE!</v>
      </c>
      <c r="AO124" s="226">
        <f>$AG$38/100*AO$122</f>
        <v>0</v>
      </c>
      <c r="AP124" s="226" t="e">
        <f>$AG$35/100*AP$122</f>
        <v>#VALUE!</v>
      </c>
      <c r="AQ124" s="226">
        <f>$AG$37/100*AQ$122</f>
        <v>0</v>
      </c>
      <c r="AR124" s="226">
        <f>$AG$32/100*AR$122</f>
        <v>0</v>
      </c>
      <c r="AS124" s="226">
        <f>$AG$33/100*AS$122</f>
        <v>0</v>
      </c>
      <c r="AT124" s="226">
        <f>$AG$34/100*AT$122</f>
        <v>0</v>
      </c>
      <c r="BY124" s="255"/>
      <c r="BZ124" s="256"/>
      <c r="CA124" s="256"/>
      <c r="CB124" s="256"/>
    </row>
    <row r="125" spans="39:80" ht="25.2" customHeight="1">
      <c r="AM125" s="226" t="s">
        <v>659</v>
      </c>
      <c r="AN125" s="226" t="e">
        <f>$AE$36/100*AN$122</f>
        <v>#VALUE!</v>
      </c>
      <c r="AO125" s="226">
        <f>$AE$38/100*AO$122</f>
        <v>0</v>
      </c>
      <c r="AP125" s="226" t="e">
        <f>$AE$35/100*AP$122</f>
        <v>#VALUE!</v>
      </c>
      <c r="AQ125" s="226">
        <f>$AE$37/100*AQ$122</f>
        <v>0</v>
      </c>
      <c r="AR125" s="226">
        <f>$AE$32/100*AR$122</f>
        <v>0</v>
      </c>
      <c r="AS125" s="226">
        <f>$AE$33/100*AS$122</f>
        <v>0</v>
      </c>
      <c r="AT125" s="226">
        <f>$AE$34/100*AT$122</f>
        <v>0</v>
      </c>
      <c r="BY125" s="255"/>
      <c r="BZ125" s="256"/>
      <c r="CA125" s="256"/>
      <c r="CB125" s="256"/>
    </row>
    <row r="126" spans="39:80" ht="25.2" customHeight="1">
      <c r="AM126" s="226" t="s">
        <v>603</v>
      </c>
      <c r="AN126" s="226" t="e">
        <f>$AH$36/100*AN$122</f>
        <v>#VALUE!</v>
      </c>
      <c r="AO126" s="226">
        <f>$AH$38/100*AO$122</f>
        <v>0</v>
      </c>
      <c r="AP126" s="226" t="e">
        <f>$AH$35/100*AP$122</f>
        <v>#VALUE!</v>
      </c>
      <c r="AQ126" s="226">
        <f>$AH$37/100*AQ$122</f>
        <v>0</v>
      </c>
      <c r="AR126" s="226">
        <f>$AH$32/100*AR$122</f>
        <v>0</v>
      </c>
      <c r="AS126" s="226">
        <f>$AH$33/100*AS$122</f>
        <v>0</v>
      </c>
      <c r="AT126" s="226">
        <f>$AH$34/100*AT$122</f>
        <v>0</v>
      </c>
      <c r="BY126" s="255"/>
      <c r="BZ126" s="256"/>
      <c r="CA126" s="256"/>
      <c r="CB126" s="256"/>
    </row>
    <row r="127" spans="39:80" ht="25.2" customHeight="1">
      <c r="AM127" s="226" t="s">
        <v>604</v>
      </c>
      <c r="AN127" s="226" t="e">
        <f>$AI$36/100*AN$122</f>
        <v>#VALUE!</v>
      </c>
      <c r="AO127" s="226">
        <f>$AI$38/100*AO$122</f>
        <v>0</v>
      </c>
      <c r="AP127" s="226" t="e">
        <f>$AI$35/100*AP$122</f>
        <v>#VALUE!</v>
      </c>
      <c r="AQ127" s="226">
        <f>$AI$37/100*AQ$122</f>
        <v>0</v>
      </c>
      <c r="AR127" s="226">
        <f>$AI$32/100*AR$122</f>
        <v>0</v>
      </c>
      <c r="AS127" s="226">
        <f>$AI$33/100*AS$122</f>
        <v>0</v>
      </c>
      <c r="AT127" s="226">
        <f>$AI$34/100*AT$122</f>
        <v>0</v>
      </c>
      <c r="BY127" s="255"/>
      <c r="BZ127" s="256"/>
      <c r="CA127" s="256"/>
      <c r="CB127" s="256"/>
    </row>
    <row r="128" spans="39:80" ht="25.2" customHeight="1">
      <c r="AM128" s="226" t="s">
        <v>605</v>
      </c>
      <c r="AN128" s="226" t="e">
        <f>SUM(AN123:AT123)</f>
        <v>#VALUE!</v>
      </c>
      <c r="BY128" s="255"/>
      <c r="BZ128" s="256"/>
      <c r="CA128" s="256"/>
      <c r="CB128" s="256"/>
    </row>
    <row r="129" spans="39:80" ht="25.2" customHeight="1">
      <c r="AM129" s="226" t="s">
        <v>598</v>
      </c>
      <c r="AN129" s="226" t="e">
        <f>SUM(AN124:AT124)</f>
        <v>#VALUE!</v>
      </c>
      <c r="BY129" s="255"/>
      <c r="BZ129" s="256"/>
      <c r="CA129" s="256"/>
      <c r="CB129" s="256"/>
    </row>
    <row r="130" spans="39:80" ht="25.2" customHeight="1">
      <c r="AM130" s="226" t="s">
        <v>606</v>
      </c>
      <c r="AN130" s="226" t="e">
        <f>SUM(AN125:AT125)</f>
        <v>#VALUE!</v>
      </c>
      <c r="BY130" s="255"/>
      <c r="BZ130" s="256"/>
      <c r="CA130" s="256"/>
      <c r="CB130" s="256"/>
    </row>
    <row r="131" spans="39:80" ht="25.2" customHeight="1">
      <c r="AM131" s="226" t="s">
        <v>607</v>
      </c>
      <c r="AN131" s="226" t="e">
        <f>SUM(AN126:AT126)</f>
        <v>#VALUE!</v>
      </c>
      <c r="BY131" s="255"/>
      <c r="BZ131" s="256"/>
      <c r="CA131" s="256"/>
      <c r="CB131" s="256"/>
    </row>
    <row r="132" spans="39:80" ht="25.2" customHeight="1">
      <c r="AM132" s="226" t="s">
        <v>608</v>
      </c>
      <c r="AN132" s="226" t="e">
        <f>SUM(AN127:AT127)</f>
        <v>#VALUE!</v>
      </c>
      <c r="BY132" s="255"/>
      <c r="BZ132" s="256"/>
      <c r="CA132" s="256"/>
      <c r="CB132" s="256"/>
    </row>
    <row r="133" spans="39:80" ht="25.2" customHeight="1">
      <c r="BY133" s="255"/>
      <c r="BZ133" s="256"/>
      <c r="CA133" s="256"/>
      <c r="CB133" s="256"/>
    </row>
    <row r="134" spans="39:80" ht="25.2" customHeight="1">
      <c r="AM134" s="226" t="s">
        <v>609</v>
      </c>
      <c r="AN134" s="226" t="e">
        <f>SUM(AN128:AN132)</f>
        <v>#VALUE!</v>
      </c>
      <c r="AP134" s="226" t="s">
        <v>610</v>
      </c>
      <c r="AQ134" s="226" t="s">
        <v>611</v>
      </c>
      <c r="AR134" s="226" t="s">
        <v>612</v>
      </c>
      <c r="AS134" s="226" t="s">
        <v>613</v>
      </c>
      <c r="AT134" s="226" t="s">
        <v>614</v>
      </c>
      <c r="BY134" s="255"/>
      <c r="BZ134" s="256"/>
      <c r="CA134" s="256"/>
      <c r="CB134" s="256"/>
    </row>
    <row r="135" spans="39:80" ht="25.2" customHeight="1">
      <c r="AO135" s="284" t="str">
        <f>"% sur MS  "</f>
        <v xml:space="preserve">% sur MS  </v>
      </c>
      <c r="AP135" s="226" t="e">
        <f>$AN130*100/$AN$134</f>
        <v>#VALUE!</v>
      </c>
      <c r="AQ135" s="226" t="e">
        <f>$AN128*100/$AN$134</f>
        <v>#VALUE!</v>
      </c>
      <c r="AR135" s="226" t="e">
        <f>$AN129*100/$AN$134</f>
        <v>#VALUE!</v>
      </c>
      <c r="AS135" s="226" t="e">
        <f>$AN131*100/$AN$134</f>
        <v>#VALUE!</v>
      </c>
      <c r="AT135" s="226" t="e">
        <f>$AN132*100/$AN$134</f>
        <v>#VALUE!</v>
      </c>
      <c r="BY135" s="255"/>
      <c r="BZ135" s="256"/>
      <c r="CA135" s="256"/>
      <c r="CB135" s="256"/>
    </row>
    <row r="136" spans="39:80" ht="25.2" customHeight="1">
      <c r="BY136" s="255"/>
      <c r="BZ136" s="256"/>
      <c r="CA136" s="256"/>
      <c r="CB136" s="256"/>
    </row>
    <row r="137" spans="39:80" ht="25.2" customHeight="1">
      <c r="BY137" s="255"/>
      <c r="BZ137" s="256"/>
      <c r="CA137" s="256"/>
      <c r="CB137" s="256"/>
    </row>
    <row r="138" spans="39:80" ht="25.2" customHeight="1">
      <c r="BY138" s="255"/>
      <c r="BZ138" s="256"/>
      <c r="CA138" s="256"/>
      <c r="CB138" s="256"/>
    </row>
    <row r="139" spans="39:80" ht="25.2" customHeight="1">
      <c r="BY139" s="255"/>
      <c r="BZ139" s="256"/>
      <c r="CA139" s="256"/>
      <c r="CB139" s="256"/>
    </row>
    <row r="140" spans="39:80" ht="25.2" customHeight="1">
      <c r="BY140" s="255"/>
      <c r="BZ140" s="256"/>
      <c r="CA140" s="256"/>
      <c r="CB140" s="256"/>
    </row>
    <row r="141" spans="39:80" ht="25.2" customHeight="1">
      <c r="BY141" s="255"/>
      <c r="BZ141" s="256"/>
      <c r="CA141" s="256"/>
      <c r="CB141" s="256"/>
    </row>
    <row r="142" spans="39:80" ht="25.2" customHeight="1">
      <c r="BY142" s="255"/>
      <c r="BZ142" s="256"/>
      <c r="CA142" s="256"/>
      <c r="CB142" s="256"/>
    </row>
    <row r="143" spans="39:80" ht="25.2" customHeight="1">
      <c r="BY143" s="255"/>
      <c r="BZ143" s="256"/>
      <c r="CA143" s="256"/>
      <c r="CB143" s="256"/>
    </row>
    <row r="144" spans="39:80" ht="25.2" customHeight="1">
      <c r="BY144" s="255"/>
      <c r="BZ144" s="256"/>
      <c r="CA144" s="256"/>
      <c r="CB144" s="256"/>
    </row>
    <row r="145" spans="77:80" ht="25.2" customHeight="1">
      <c r="BY145" s="255"/>
      <c r="BZ145" s="256"/>
      <c r="CA145" s="256"/>
      <c r="CB145" s="256"/>
    </row>
    <row r="146" spans="77:80" ht="25.2" customHeight="1">
      <c r="BY146" s="255"/>
      <c r="BZ146" s="256"/>
      <c r="CA146" s="256"/>
      <c r="CB146" s="256"/>
    </row>
    <row r="147" spans="77:80" ht="25.2" customHeight="1">
      <c r="BY147" s="255"/>
      <c r="BZ147" s="256"/>
      <c r="CA147" s="256"/>
      <c r="CB147" s="256"/>
    </row>
    <row r="148" spans="77:80" ht="25.2" customHeight="1">
      <c r="BY148" s="255"/>
      <c r="BZ148" s="256"/>
      <c r="CA148" s="256"/>
      <c r="CB148" s="256"/>
    </row>
    <row r="149" spans="77:80" ht="25.2" customHeight="1">
      <c r="BY149" s="255"/>
      <c r="BZ149" s="256"/>
      <c r="CA149" s="256"/>
      <c r="CB149" s="256"/>
    </row>
    <row r="150" spans="77:80" ht="25.2" customHeight="1">
      <c r="BY150" s="255"/>
      <c r="BZ150" s="256"/>
      <c r="CA150" s="256"/>
      <c r="CB150" s="256"/>
    </row>
    <row r="151" spans="77:80" ht="25.2" customHeight="1">
      <c r="BY151" s="255"/>
      <c r="BZ151" s="256"/>
      <c r="CA151" s="256"/>
      <c r="CB151" s="256"/>
    </row>
    <row r="152" spans="77:80" ht="25.2" customHeight="1">
      <c r="BY152" s="255"/>
      <c r="BZ152" s="256"/>
      <c r="CA152" s="256"/>
      <c r="CB152" s="256"/>
    </row>
    <row r="153" spans="77:80" ht="25.2" customHeight="1">
      <c r="BY153" s="255"/>
      <c r="BZ153" s="256"/>
      <c r="CA153" s="256"/>
      <c r="CB153" s="256"/>
    </row>
    <row r="154" spans="77:80" ht="25.2" customHeight="1">
      <c r="BY154" s="255"/>
      <c r="BZ154" s="256"/>
      <c r="CA154" s="256"/>
      <c r="CB154" s="256"/>
    </row>
    <row r="155" spans="77:80" ht="25.2" customHeight="1">
      <c r="BY155" s="255"/>
      <c r="BZ155" s="256"/>
      <c r="CA155" s="256"/>
      <c r="CB155" s="256"/>
    </row>
    <row r="156" spans="77:80" ht="25.2" customHeight="1">
      <c r="BY156" s="255"/>
      <c r="BZ156" s="256"/>
      <c r="CA156" s="256"/>
      <c r="CB156" s="256"/>
    </row>
    <row r="157" spans="77:80" ht="25.2" customHeight="1">
      <c r="BY157" s="255"/>
      <c r="BZ157" s="256"/>
      <c r="CA157" s="256"/>
      <c r="CB157" s="256"/>
    </row>
    <row r="158" spans="77:80" ht="25.2" customHeight="1">
      <c r="BY158" s="255"/>
      <c r="BZ158" s="256"/>
      <c r="CA158" s="256"/>
      <c r="CB158" s="256"/>
    </row>
    <row r="159" spans="77:80" ht="25.2" customHeight="1">
      <c r="BY159" s="255"/>
      <c r="BZ159" s="256"/>
      <c r="CA159" s="256"/>
      <c r="CB159" s="256"/>
    </row>
    <row r="160" spans="77:80" ht="25.2" customHeight="1">
      <c r="BY160" s="255"/>
      <c r="BZ160" s="256"/>
      <c r="CA160" s="256"/>
      <c r="CB160" s="256"/>
    </row>
    <row r="161" spans="77:80" ht="25.2" customHeight="1">
      <c r="BY161" s="255"/>
      <c r="BZ161" s="256"/>
      <c r="CA161" s="256"/>
      <c r="CB161" s="256"/>
    </row>
    <row r="162" spans="77:80" ht="25.2" customHeight="1">
      <c r="BY162" s="255"/>
      <c r="BZ162" s="256"/>
      <c r="CA162" s="256"/>
      <c r="CB162" s="256"/>
    </row>
    <row r="163" spans="77:80" ht="25.2" customHeight="1">
      <c r="BY163" s="255"/>
      <c r="BZ163" s="256"/>
      <c r="CA163" s="256"/>
      <c r="CB163" s="256"/>
    </row>
    <row r="164" spans="77:80" ht="25.2" customHeight="1">
      <c r="BY164" s="255"/>
      <c r="BZ164" s="256"/>
      <c r="CA164" s="256"/>
      <c r="CB164" s="256"/>
    </row>
    <row r="165" spans="77:80" ht="25.2" customHeight="1">
      <c r="BY165" s="255"/>
      <c r="BZ165" s="256"/>
      <c r="CA165" s="256"/>
      <c r="CB165" s="256"/>
    </row>
    <row r="166" spans="77:80" ht="25.2" customHeight="1">
      <c r="BY166" s="255"/>
      <c r="BZ166" s="256"/>
      <c r="CA166" s="256"/>
      <c r="CB166" s="256"/>
    </row>
    <row r="167" spans="77:80" ht="25.2" customHeight="1">
      <c r="BY167" s="255"/>
      <c r="BZ167" s="256"/>
      <c r="CA167" s="256"/>
      <c r="CB167" s="256"/>
    </row>
    <row r="168" spans="77:80" ht="25.2" customHeight="1">
      <c r="BY168" s="255"/>
      <c r="BZ168" s="256"/>
      <c r="CA168" s="256"/>
      <c r="CB168" s="256"/>
    </row>
    <row r="169" spans="77:80" ht="25.2" customHeight="1">
      <c r="BY169" s="255"/>
      <c r="BZ169" s="256"/>
      <c r="CA169" s="256"/>
      <c r="CB169" s="256"/>
    </row>
    <row r="170" spans="77:80" ht="25.2" customHeight="1">
      <c r="BY170" s="255"/>
      <c r="BZ170" s="256"/>
      <c r="CA170" s="256"/>
      <c r="CB170" s="256"/>
    </row>
    <row r="171" spans="77:80" ht="25.2" customHeight="1">
      <c r="BY171" s="255"/>
      <c r="BZ171" s="256"/>
      <c r="CA171" s="256"/>
      <c r="CB171" s="256"/>
    </row>
    <row r="172" spans="77:80" ht="25.2" customHeight="1">
      <c r="BY172" s="255"/>
      <c r="BZ172" s="256"/>
      <c r="CA172" s="256"/>
      <c r="CB172" s="256"/>
    </row>
    <row r="173" spans="77:80" ht="25.2" customHeight="1">
      <c r="BY173" s="255"/>
      <c r="BZ173" s="256"/>
      <c r="CA173" s="256"/>
      <c r="CB173" s="256"/>
    </row>
    <row r="174" spans="77:80" ht="25.2" customHeight="1">
      <c r="BY174" s="255"/>
      <c r="BZ174" s="256"/>
      <c r="CA174" s="256"/>
      <c r="CB174" s="256"/>
    </row>
    <row r="175" spans="77:80" ht="25.2" customHeight="1">
      <c r="BY175" s="255"/>
      <c r="BZ175" s="256"/>
      <c r="CA175" s="256"/>
      <c r="CB175" s="256"/>
    </row>
    <row r="176" spans="77:80" ht="25.2" customHeight="1">
      <c r="BY176" s="255"/>
      <c r="BZ176" s="256"/>
      <c r="CA176" s="256"/>
      <c r="CB176" s="256"/>
    </row>
    <row r="177" spans="77:80" ht="25.2" customHeight="1">
      <c r="BY177" s="255"/>
      <c r="BZ177" s="256"/>
      <c r="CA177" s="256"/>
      <c r="CB177" s="256"/>
    </row>
    <row r="178" spans="77:80" ht="25.2" customHeight="1">
      <c r="BY178" s="255"/>
      <c r="BZ178" s="256"/>
      <c r="CA178" s="256"/>
      <c r="CB178" s="256"/>
    </row>
    <row r="179" spans="77:80" ht="25.2" customHeight="1">
      <c r="BY179" s="255"/>
      <c r="BZ179" s="256"/>
      <c r="CA179" s="256"/>
      <c r="CB179" s="256"/>
    </row>
    <row r="180" spans="77:80" ht="25.2" customHeight="1">
      <c r="BY180" s="255"/>
      <c r="BZ180" s="256"/>
      <c r="CA180" s="256"/>
      <c r="CB180" s="256"/>
    </row>
    <row r="181" spans="77:80" ht="25.2" customHeight="1">
      <c r="BY181" s="255"/>
      <c r="BZ181" s="256"/>
      <c r="CA181" s="256"/>
      <c r="CB181" s="256"/>
    </row>
    <row r="182" spans="77:80" ht="25.2" customHeight="1">
      <c r="BY182" s="255"/>
      <c r="BZ182" s="256"/>
      <c r="CA182" s="256"/>
      <c r="CB182" s="256"/>
    </row>
    <row r="183" spans="77:80" ht="25.2" customHeight="1">
      <c r="BY183" s="255"/>
      <c r="BZ183" s="256"/>
      <c r="CA183" s="256"/>
      <c r="CB183" s="256"/>
    </row>
    <row r="184" spans="77:80" ht="25.2" customHeight="1">
      <c r="BY184" s="255"/>
      <c r="BZ184" s="256"/>
      <c r="CA184" s="256"/>
      <c r="CB184" s="256"/>
    </row>
    <row r="185" spans="77:80" ht="25.2" customHeight="1">
      <c r="BY185" s="255"/>
      <c r="BZ185" s="256"/>
      <c r="CA185" s="256"/>
      <c r="CB185" s="256"/>
    </row>
    <row r="186" spans="77:80" ht="25.2" customHeight="1">
      <c r="BY186" s="255"/>
      <c r="BZ186" s="256"/>
      <c r="CA186" s="256"/>
      <c r="CB186" s="256"/>
    </row>
    <row r="187" spans="77:80" ht="25.2" customHeight="1">
      <c r="BY187" s="255"/>
      <c r="BZ187" s="256"/>
      <c r="CA187" s="256"/>
      <c r="CB187" s="256"/>
    </row>
    <row r="188" spans="77:80" ht="25.2" customHeight="1">
      <c r="BY188" s="255"/>
      <c r="BZ188" s="256"/>
      <c r="CA188" s="256"/>
      <c r="CB188" s="256"/>
    </row>
    <row r="189" spans="77:80" ht="25.2" customHeight="1">
      <c r="BY189" s="255"/>
      <c r="BZ189" s="256"/>
      <c r="CA189" s="256"/>
      <c r="CB189" s="256"/>
    </row>
    <row r="190" spans="77:80" ht="25.2" customHeight="1">
      <c r="BY190" s="255"/>
      <c r="BZ190" s="256"/>
      <c r="CA190" s="256"/>
      <c r="CB190" s="256"/>
    </row>
    <row r="191" spans="77:80" ht="25.2" customHeight="1">
      <c r="BY191" s="255"/>
      <c r="BZ191" s="256"/>
      <c r="CA191" s="256"/>
      <c r="CB191" s="256"/>
    </row>
    <row r="192" spans="77:80" ht="25.2" customHeight="1">
      <c r="BY192" s="255"/>
      <c r="BZ192" s="256"/>
      <c r="CA192" s="256"/>
      <c r="CB192" s="256"/>
    </row>
    <row r="193" spans="77:115" ht="25.2" customHeight="1">
      <c r="BY193" s="255"/>
      <c r="BZ193" s="256"/>
      <c r="CA193" s="256"/>
      <c r="CB193" s="256"/>
    </row>
    <row r="194" spans="77:115" ht="25.2" customHeight="1">
      <c r="BY194" s="255"/>
      <c r="BZ194" s="256"/>
      <c r="CA194" s="256"/>
      <c r="CB194" s="256"/>
    </row>
    <row r="195" spans="77:115" ht="25.2" customHeight="1">
      <c r="BY195" s="255"/>
      <c r="BZ195" s="256"/>
      <c r="CA195" s="256"/>
      <c r="CB195" s="256"/>
    </row>
    <row r="196" spans="77:115" ht="25.2" customHeight="1">
      <c r="BY196" s="255"/>
      <c r="BZ196" s="256"/>
      <c r="CA196" s="256"/>
      <c r="CB196" s="256"/>
      <c r="DK196" s="227"/>
    </row>
    <row r="197" spans="77:115" ht="25.2" customHeight="1">
      <c r="BY197" s="255"/>
      <c r="BZ197" s="256"/>
      <c r="CA197" s="256"/>
      <c r="CB197" s="256"/>
      <c r="DK197" s="227"/>
    </row>
    <row r="198" spans="77:115" ht="25.2" customHeight="1">
      <c r="BY198" s="255"/>
      <c r="BZ198" s="256"/>
      <c r="CA198" s="256"/>
      <c r="CB198" s="256"/>
      <c r="DK198" s="227"/>
    </row>
    <row r="199" spans="77:115" ht="25.2" customHeight="1">
      <c r="BY199" s="255"/>
      <c r="BZ199" s="256"/>
      <c r="CA199" s="256"/>
      <c r="CB199" s="256"/>
    </row>
    <row r="200" spans="77:115" ht="25.2" customHeight="1"/>
    <row r="201" spans="77:115" ht="25.2" customHeight="1"/>
    <row r="202" spans="77:115">
      <c r="BY202" s="300"/>
    </row>
  </sheetData>
  <sheetProtection algorithmName="SHA-512" hashValue="Y/FcpK+6Wk/jOZFMYOCAJE12vD65XoAowTSlGDWgdrbFbWwz0PlVcch+zriaLZ52UQ7pyJDs0DGeqmD8wzij3Q==" saltValue="1BUkBA8cpc83VOJNXeJFrA==" spinCount="100000" sheet="1" objects="1" scenarios="1" selectLockedCells="1"/>
  <mergeCells count="215">
    <mergeCell ref="BQ54:BU54"/>
    <mergeCell ref="BQ53:BU53"/>
    <mergeCell ref="AO60:AP60"/>
    <mergeCell ref="BE69:BG69"/>
    <mergeCell ref="BQ78:BU78"/>
    <mergeCell ref="W72:X72"/>
    <mergeCell ref="W77:W85"/>
    <mergeCell ref="W73:X73"/>
    <mergeCell ref="Z71:AA71"/>
    <mergeCell ref="Y73:AA73"/>
    <mergeCell ref="AO81:AP81"/>
    <mergeCell ref="W95:Z97"/>
    <mergeCell ref="AO70:AP70"/>
    <mergeCell ref="AH70:AI71"/>
    <mergeCell ref="W70:X70"/>
    <mergeCell ref="AH95:AI96"/>
    <mergeCell ref="AM84:AN84"/>
    <mergeCell ref="Z70:AA70"/>
    <mergeCell ref="AD94:AE94"/>
    <mergeCell ref="AH94:AI94"/>
    <mergeCell ref="Z72:AA72"/>
    <mergeCell ref="W71:X71"/>
    <mergeCell ref="AO67:AP67"/>
    <mergeCell ref="AM67:AN67"/>
    <mergeCell ref="AS65:AS66"/>
    <mergeCell ref="AH69:AI69"/>
    <mergeCell ref="AM66:AN66"/>
    <mergeCell ref="AO66:AP66"/>
    <mergeCell ref="BI40:BJ40"/>
    <mergeCell ref="BM22:BN22"/>
    <mergeCell ref="BG32:BG34"/>
    <mergeCell ref="AM112:AT112"/>
    <mergeCell ref="AQ65:AR68"/>
    <mergeCell ref="AM68:AN68"/>
    <mergeCell ref="AO84:AP84"/>
    <mergeCell ref="AL34:AM34"/>
    <mergeCell ref="AS67:AT67"/>
    <mergeCell ref="AL41:AM41"/>
    <mergeCell ref="AW22:BF22"/>
    <mergeCell ref="AE10:AH10"/>
    <mergeCell ref="BC16:BE16"/>
    <mergeCell ref="AJ40:AK40"/>
    <mergeCell ref="W40:X42"/>
    <mergeCell ref="W33:X33"/>
    <mergeCell ref="AA31:AA34"/>
    <mergeCell ref="AI40:AI41"/>
    <mergeCell ref="AJ24:AJ28"/>
    <mergeCell ref="AR19:AT19"/>
    <mergeCell ref="AS45:AT45"/>
    <mergeCell ref="CQ2:CX2"/>
    <mergeCell ref="BB3:BI3"/>
    <mergeCell ref="BY2:CP2"/>
    <mergeCell ref="BK20:BL20"/>
    <mergeCell ref="BI22:BJ22"/>
    <mergeCell ref="BG22:BH22"/>
    <mergeCell ref="BG20:BH20"/>
    <mergeCell ref="BU15:BV15"/>
    <mergeCell ref="BQ10:BT10"/>
    <mergeCell ref="CD3:CE3"/>
    <mergeCell ref="BQ43:BU43"/>
    <mergeCell ref="BQ61:BU61"/>
    <mergeCell ref="BO22:BQ22"/>
    <mergeCell ref="AM2:AS2"/>
    <mergeCell ref="BQ46:BU46"/>
    <mergeCell ref="AZ27:BC27"/>
    <mergeCell ref="BD27:BE27"/>
    <mergeCell ref="BF27:BG27"/>
    <mergeCell ref="AZ10:BP10"/>
    <mergeCell ref="CI39:CJ39"/>
    <mergeCell ref="BP38:BU39"/>
    <mergeCell ref="BQ42:BU42"/>
    <mergeCell ref="BU22:BV22"/>
    <mergeCell ref="AW2:AY2"/>
    <mergeCell ref="BY3:BZ3"/>
    <mergeCell ref="BK22:BL22"/>
    <mergeCell ref="AZ26:BC26"/>
    <mergeCell ref="BD26:BE26"/>
    <mergeCell ref="BF26:BG26"/>
    <mergeCell ref="DL2:DL101"/>
    <mergeCell ref="BP41:BU41"/>
    <mergeCell ref="CD27:CE27"/>
    <mergeCell ref="CD39:CE39"/>
    <mergeCell ref="BQ75:BU75"/>
    <mergeCell ref="BQ77:BU77"/>
    <mergeCell ref="CD18:CE18"/>
    <mergeCell ref="CI3:CJ3"/>
    <mergeCell ref="BQ74:BU74"/>
    <mergeCell ref="BQ45:BU45"/>
    <mergeCell ref="BQ48:BU48"/>
    <mergeCell ref="BP59:BU59"/>
    <mergeCell ref="BL31:BM31"/>
    <mergeCell ref="BL32:BM33"/>
    <mergeCell ref="BQ60:BU60"/>
    <mergeCell ref="BQ47:BU47"/>
    <mergeCell ref="BQ49:BU49"/>
    <mergeCell ref="BQ52:BU52"/>
    <mergeCell ref="BQ51:BU51"/>
    <mergeCell ref="BQ50:BU50"/>
    <mergeCell ref="BQ76:BU76"/>
    <mergeCell ref="BP73:BU73"/>
    <mergeCell ref="B1:H1"/>
    <mergeCell ref="B7:C7"/>
    <mergeCell ref="B9:D9"/>
    <mergeCell ref="F7:G7"/>
    <mergeCell ref="I14:J14"/>
    <mergeCell ref="W30:AA30"/>
    <mergeCell ref="B10:D14"/>
    <mergeCell ref="BP65:BU65"/>
    <mergeCell ref="G29:L29"/>
    <mergeCell ref="W22:X22"/>
    <mergeCell ref="F33:G33"/>
    <mergeCell ref="W66:AA68"/>
    <mergeCell ref="B33:D33"/>
    <mergeCell ref="Z23:AA23"/>
    <mergeCell ref="C25:D25"/>
    <mergeCell ref="W36:X36"/>
    <mergeCell ref="W46:X46"/>
    <mergeCell ref="F18:H23"/>
    <mergeCell ref="I15:J15"/>
    <mergeCell ref="C23:D23"/>
    <mergeCell ref="AD22:AL22"/>
    <mergeCell ref="AJ20:AK20"/>
    <mergeCell ref="F17:G17"/>
    <mergeCell ref="C21:D21"/>
    <mergeCell ref="C20:D20"/>
    <mergeCell ref="W2:W16"/>
    <mergeCell ref="B2:L5"/>
    <mergeCell ref="I9:J9"/>
    <mergeCell ref="F30:G30"/>
    <mergeCell ref="F31:G31"/>
    <mergeCell ref="I8:J8"/>
    <mergeCell ref="X4:Y4"/>
    <mergeCell ref="X10:X13"/>
    <mergeCell ref="B8:D8"/>
    <mergeCell ref="B16:D18"/>
    <mergeCell ref="C24:D24"/>
    <mergeCell ref="C22:D22"/>
    <mergeCell ref="C19:D19"/>
    <mergeCell ref="AM5:AS5"/>
    <mergeCell ref="AM6:AS6"/>
    <mergeCell ref="AM4:AS4"/>
    <mergeCell ref="AM7:AS7"/>
    <mergeCell ref="I7:J7"/>
    <mergeCell ref="AM13:AS13"/>
    <mergeCell ref="I11:J11"/>
    <mergeCell ref="I13:J13"/>
    <mergeCell ref="I12:J12"/>
    <mergeCell ref="X5:X9"/>
    <mergeCell ref="AO65:AP65"/>
    <mergeCell ref="AQ54:AR54"/>
    <mergeCell ref="AA58:AA59"/>
    <mergeCell ref="F32:G32"/>
    <mergeCell ref="B31:D31"/>
    <mergeCell ref="B34:D34"/>
    <mergeCell ref="F34:G34"/>
    <mergeCell ref="W44:X44"/>
    <mergeCell ref="B32:D32"/>
    <mergeCell ref="AM45:AR45"/>
    <mergeCell ref="AD49:AE49"/>
    <mergeCell ref="AD30:AS30"/>
    <mergeCell ref="AI24:AI28"/>
    <mergeCell ref="AK24:AK28"/>
    <mergeCell ref="AM59:AP59"/>
    <mergeCell ref="AM64:AN64"/>
    <mergeCell ref="AD62:AJ62"/>
    <mergeCell ref="AO64:AP64"/>
    <mergeCell ref="AO61:AP61"/>
    <mergeCell ref="AD47:AJ47"/>
    <mergeCell ref="W34:X34"/>
    <mergeCell ref="W32:X32"/>
    <mergeCell ref="AI43:AJ43"/>
    <mergeCell ref="AI44:AJ44"/>
    <mergeCell ref="AQ64:AR64"/>
    <mergeCell ref="AM3:AS3"/>
    <mergeCell ref="AE15:AH15"/>
    <mergeCell ref="AE3:AH3"/>
    <mergeCell ref="Z26:AA26"/>
    <mergeCell ref="Z24:AA24"/>
    <mergeCell ref="AQ83:AQ84"/>
    <mergeCell ref="AM82:AN82"/>
    <mergeCell ref="AL40:AM40"/>
    <mergeCell ref="AM65:AN65"/>
    <mergeCell ref="AD61:AJ61"/>
    <mergeCell ref="AI49:AJ49"/>
    <mergeCell ref="AJ41:AK41"/>
    <mergeCell ref="AI50:AJ51"/>
    <mergeCell ref="AG48:AJ48"/>
    <mergeCell ref="AD69:AE69"/>
    <mergeCell ref="AD80:AE80"/>
    <mergeCell ref="AH80:AI80"/>
    <mergeCell ref="AH81:AI82"/>
    <mergeCell ref="AO68:AP68"/>
    <mergeCell ref="AM69:AN69"/>
    <mergeCell ref="AQ70:AR70"/>
    <mergeCell ref="AQ69:AR69"/>
    <mergeCell ref="AM70:AN70"/>
    <mergeCell ref="AO69:AP69"/>
    <mergeCell ref="AM72:AT72"/>
    <mergeCell ref="BE73:BG73"/>
    <mergeCell ref="AX65:BK65"/>
    <mergeCell ref="BC68:BC69"/>
    <mergeCell ref="BE67:BG67"/>
    <mergeCell ref="BE68:BG68"/>
    <mergeCell ref="BE70:BG70"/>
    <mergeCell ref="BE71:BG71"/>
    <mergeCell ref="BM26:BO26"/>
    <mergeCell ref="AM12:AS12"/>
    <mergeCell ref="CI10:CZ10"/>
    <mergeCell ref="B36:C37"/>
    <mergeCell ref="K40:L40"/>
    <mergeCell ref="BE72:BG72"/>
    <mergeCell ref="AD48:AE48"/>
    <mergeCell ref="Z38:AA38"/>
    <mergeCell ref="W35:X35"/>
    <mergeCell ref="AJ15:AK15"/>
  </mergeCells>
  <conditionalFormatting sqref="C15">
    <cfRule type="cellIs" dxfId="175" priority="871" stopIfTrue="1" operator="between">
      <formula>0.0001</formula>
      <formula>1000</formula>
    </cfRule>
  </conditionalFormatting>
  <conditionalFormatting sqref="C19:D19">
    <cfRule type="expression" dxfId="174" priority="870" stopIfTrue="1">
      <formula>$C$19&lt;&gt;""</formula>
    </cfRule>
  </conditionalFormatting>
  <conditionalFormatting sqref="C22:D22">
    <cfRule type="expression" dxfId="173" priority="867" stopIfTrue="1">
      <formula>$C$22&lt;&gt;""</formula>
    </cfRule>
  </conditionalFormatting>
  <conditionalFormatting sqref="C23:D23">
    <cfRule type="expression" dxfId="172" priority="1" stopIfTrue="1">
      <formula>$AJ$11=1</formula>
    </cfRule>
    <cfRule type="expression" dxfId="171" priority="866" stopIfTrue="1">
      <formula>$C$23&lt;&gt;""</formula>
    </cfRule>
  </conditionalFormatting>
  <conditionalFormatting sqref="C24:D24">
    <cfRule type="expression" dxfId="170" priority="865" stopIfTrue="1">
      <formula>$C$24&lt;&gt;""</formula>
    </cfRule>
  </conditionalFormatting>
  <conditionalFormatting sqref="C25:D25">
    <cfRule type="expression" dxfId="169" priority="864" stopIfTrue="1">
      <formula>$C$25&lt;&gt;""</formula>
    </cfRule>
  </conditionalFormatting>
  <conditionalFormatting sqref="C28">
    <cfRule type="expression" dxfId="166" priority="374" stopIfTrue="1">
      <formula>$AA$54=8</formula>
    </cfRule>
  </conditionalFormatting>
  <conditionalFormatting sqref="G11">
    <cfRule type="expression" dxfId="165" priority="347" stopIfTrue="1">
      <formula>$G$11&lt;&gt;""</formula>
    </cfRule>
  </conditionalFormatting>
  <conditionalFormatting sqref="I7">
    <cfRule type="expression" dxfId="164" priority="33" stopIfTrue="1">
      <formula>$AK$16=1</formula>
    </cfRule>
    <cfRule type="expression" dxfId="163" priority="339" stopIfTrue="1">
      <formula>$AK$16=2</formula>
    </cfRule>
  </conditionalFormatting>
  <conditionalFormatting sqref="I8">
    <cfRule type="expression" dxfId="162" priority="338" stopIfTrue="1">
      <formula>$I$8&lt;&gt;""</formula>
    </cfRule>
  </conditionalFormatting>
  <conditionalFormatting sqref="I11">
    <cfRule type="expression" dxfId="161" priority="330" stopIfTrue="1">
      <formula>$X$3=0</formula>
    </cfRule>
    <cfRule type="expression" dxfId="160" priority="336" stopIfTrue="1">
      <formula>$I$11&lt;&gt;""</formula>
    </cfRule>
  </conditionalFormatting>
  <conditionalFormatting sqref="I12">
    <cfRule type="expression" dxfId="159" priority="331" stopIfTrue="1">
      <formula>$Y$3=0</formula>
    </cfRule>
    <cfRule type="expression" dxfId="158" priority="335" stopIfTrue="1">
      <formula>$I$12&lt;&gt;""</formula>
    </cfRule>
  </conditionalFormatting>
  <conditionalFormatting sqref="I13">
    <cfRule type="expression" dxfId="157" priority="332" stopIfTrue="1">
      <formula>$Z$3=0</formula>
    </cfRule>
    <cfRule type="expression" dxfId="156" priority="334" stopIfTrue="1">
      <formula>$I$13&lt;&gt;""</formula>
    </cfRule>
  </conditionalFormatting>
  <conditionalFormatting sqref="I17:L23">
    <cfRule type="expression" dxfId="155" priority="323" stopIfTrue="1">
      <formula>$AA$55=15</formula>
    </cfRule>
  </conditionalFormatting>
  <conditionalFormatting sqref="I14">
    <cfRule type="expression" dxfId="154" priority="300" stopIfTrue="1">
      <formula>$AA$3=0</formula>
    </cfRule>
    <cfRule type="expression" dxfId="153" priority="301" stopIfTrue="1">
      <formula>$I$14&lt;&gt;""</formula>
    </cfRule>
  </conditionalFormatting>
  <conditionalFormatting sqref="G12">
    <cfRule type="expression" dxfId="106" priority="96" stopIfTrue="1">
      <formula>$G$12&lt;&gt;""</formula>
    </cfRule>
  </conditionalFormatting>
  <conditionalFormatting sqref="F13">
    <cfRule type="expression" dxfId="105" priority="94" stopIfTrue="1">
      <formula>$W$78=0</formula>
    </cfRule>
    <cfRule type="expression" dxfId="104" priority="95" stopIfTrue="1">
      <formula>$W$78&gt;0</formula>
    </cfRule>
  </conditionalFormatting>
  <conditionalFormatting sqref="G13">
    <cfRule type="expression" dxfId="103" priority="28" stopIfTrue="1">
      <formula>$G$12="Aucun"</formula>
    </cfRule>
    <cfRule type="expression" dxfId="102" priority="93" stopIfTrue="1">
      <formula>$G$13&lt;&gt;""</formula>
    </cfRule>
  </conditionalFormatting>
  <conditionalFormatting sqref="F16">
    <cfRule type="containsText" dxfId="101" priority="91" stopIfTrue="1" operator="containsText" text="[ERREUR]">
      <formula>NOT(ISERROR(SEARCH("[ERREUR]",F16)))</formula>
    </cfRule>
    <cfRule type="containsText" dxfId="100" priority="92" stopIfTrue="1" operator="containsText" text="[INFO]">
      <formula>NOT(ISERROR(SEARCH("[INFO]",F16)))</formula>
    </cfRule>
  </conditionalFormatting>
  <conditionalFormatting sqref="I15">
    <cfRule type="expression" dxfId="99" priority="34" stopIfTrue="1">
      <formula>$X$3=0</formula>
    </cfRule>
    <cfRule type="expression" dxfId="98" priority="89" stopIfTrue="1">
      <formula>$BJ$17=1</formula>
    </cfRule>
    <cfRule type="expression" dxfId="97" priority="90" stopIfTrue="1">
      <formula>$BJ$17=3</formula>
    </cfRule>
  </conditionalFormatting>
  <conditionalFormatting sqref="K15">
    <cfRule type="expression" dxfId="96" priority="87" stopIfTrue="1">
      <formula>$X$3=0</formula>
    </cfRule>
    <cfRule type="expression" dxfId="95" priority="88" stopIfTrue="1">
      <formula>$K$15&lt;&gt;""</formula>
    </cfRule>
  </conditionalFormatting>
  <conditionalFormatting sqref="J34">
    <cfRule type="expression" dxfId="94" priority="85" stopIfTrue="1">
      <formula>MAX($AT$47,$AT$53)=2</formula>
    </cfRule>
    <cfRule type="expression" dxfId="93" priority="86" stopIfTrue="1">
      <formula>MAX($AT$47,$AT$53)=1</formula>
    </cfRule>
  </conditionalFormatting>
  <conditionalFormatting sqref="L34">
    <cfRule type="expression" dxfId="92" priority="83" stopIfTrue="1">
      <formula>$AA$14=1</formula>
    </cfRule>
    <cfRule type="expression" dxfId="91" priority="84" stopIfTrue="1">
      <formula>$AA$15=1</formula>
    </cfRule>
  </conditionalFormatting>
  <conditionalFormatting sqref="H33">
    <cfRule type="expression" dxfId="90" priority="81" stopIfTrue="1">
      <formula>$AT$50=2</formula>
    </cfRule>
    <cfRule type="expression" dxfId="89" priority="82" stopIfTrue="1">
      <formula>$AT$50=1</formula>
    </cfRule>
  </conditionalFormatting>
  <conditionalFormatting sqref="J33">
    <cfRule type="expression" dxfId="88" priority="79" stopIfTrue="1">
      <formula>MAX($AT$49,$AT$52)=2</formula>
    </cfRule>
    <cfRule type="expression" dxfId="87" priority="80" stopIfTrue="1">
      <formula>MAX($AT$49,$AT$52)=1</formula>
    </cfRule>
  </conditionalFormatting>
  <conditionalFormatting sqref="F31">
    <cfRule type="expression" dxfId="86" priority="77" stopIfTrue="1">
      <formula>$AO$47=17</formula>
    </cfRule>
    <cfRule type="expression" dxfId="85" priority="78" stopIfTrue="1">
      <formula>$AO$47=16</formula>
    </cfRule>
  </conditionalFormatting>
  <conditionalFormatting sqref="H31">
    <cfRule type="expression" dxfId="84" priority="75" stopIfTrue="1">
      <formula>$AT$51=2</formula>
    </cfRule>
    <cfRule type="expression" dxfId="83" priority="76" stopIfTrue="1">
      <formula>$AT$51=1</formula>
    </cfRule>
  </conditionalFormatting>
  <conditionalFormatting sqref="F30">
    <cfRule type="expression" dxfId="82" priority="73" stopIfTrue="1">
      <formula>$AO$47=17</formula>
    </cfRule>
    <cfRule type="expression" dxfId="81" priority="74" stopIfTrue="1">
      <formula>$AO$47=16</formula>
    </cfRule>
  </conditionalFormatting>
  <conditionalFormatting sqref="J30">
    <cfRule type="expression" dxfId="80" priority="71" stopIfTrue="1">
      <formula>$AT$48=2</formula>
    </cfRule>
    <cfRule type="expression" dxfId="79" priority="72" stopIfTrue="1">
      <formula>$AT$48=1</formula>
    </cfRule>
  </conditionalFormatting>
  <conditionalFormatting sqref="F29:L29">
    <cfRule type="expression" dxfId="78" priority="68" stopIfTrue="1">
      <formula>$AO$47=17</formula>
    </cfRule>
    <cfRule type="expression" dxfId="77" priority="69" stopIfTrue="1">
      <formula>$AO$47=16</formula>
    </cfRule>
    <cfRule type="expression" dxfId="76" priority="70" stopIfTrue="1">
      <formula>$AO$47=15</formula>
    </cfRule>
  </conditionalFormatting>
  <conditionalFormatting sqref="F28">
    <cfRule type="expression" dxfId="75" priority="66" stopIfTrue="1">
      <formula>$AO$47=17</formula>
    </cfRule>
    <cfRule type="expression" dxfId="74" priority="67" stopIfTrue="1">
      <formula>$AO$47=16</formula>
    </cfRule>
  </conditionalFormatting>
  <conditionalFormatting sqref="F27">
    <cfRule type="expression" dxfId="73" priority="64" stopIfTrue="1">
      <formula>$AO$47=17</formula>
    </cfRule>
    <cfRule type="expression" dxfId="72" priority="65" stopIfTrue="1">
      <formula>$AO$47=16</formula>
    </cfRule>
  </conditionalFormatting>
  <conditionalFormatting sqref="G27">
    <cfRule type="expression" dxfId="71" priority="62" stopIfTrue="1">
      <formula>MAX($AS$48,$AS$49)=2</formula>
    </cfRule>
    <cfRule type="expression" dxfId="70" priority="63" stopIfTrue="1">
      <formula>MAX($AS$48,$AS$49)=1</formula>
    </cfRule>
  </conditionalFormatting>
  <conditionalFormatting sqref="H27">
    <cfRule type="expression" dxfId="69" priority="60" stopIfTrue="1">
      <formula>$AS$50=2</formula>
    </cfRule>
    <cfRule type="expression" dxfId="68" priority="61" stopIfTrue="1">
      <formula>$AS$50=1</formula>
    </cfRule>
  </conditionalFormatting>
  <conditionalFormatting sqref="I27">
    <cfRule type="expression" dxfId="67" priority="58" stopIfTrue="1">
      <formula>$AS$51=2</formula>
    </cfRule>
    <cfRule type="expression" dxfId="66" priority="59" stopIfTrue="1">
      <formula>$AS$51=1</formula>
    </cfRule>
  </conditionalFormatting>
  <conditionalFormatting sqref="J27">
    <cfRule type="expression" dxfId="65" priority="56" stopIfTrue="1">
      <formula>MAX($AS$52,$AS$53)=2</formula>
    </cfRule>
    <cfRule type="expression" dxfId="64" priority="57" stopIfTrue="1">
      <formula>MAX($AS$52,$AS$53)=1</formula>
    </cfRule>
  </conditionalFormatting>
  <conditionalFormatting sqref="K27">
    <cfRule type="expression" dxfId="63" priority="53" stopIfTrue="1">
      <formula>MAX($AT$49,$AT$52)=2</formula>
    </cfRule>
    <cfRule type="expression" dxfId="62" priority="55" stopIfTrue="1">
      <formula>MAX($AT$49,$AT$52)=1</formula>
    </cfRule>
  </conditionalFormatting>
  <conditionalFormatting sqref="L27">
    <cfRule type="expression" dxfId="61" priority="52" stopIfTrue="1">
      <formula>MAX($AT$47,$AT$53)=2</formula>
    </cfRule>
    <cfRule type="expression" dxfId="60" priority="54" stopIfTrue="1">
      <formula>MAX($AT$47,$AT$53)=1</formula>
    </cfRule>
  </conditionalFormatting>
  <conditionalFormatting sqref="F26">
    <cfRule type="expression" dxfId="59" priority="50" stopIfTrue="1">
      <formula>$AO$47=17</formula>
    </cfRule>
    <cfRule type="expression" dxfId="58" priority="51" stopIfTrue="1">
      <formula>$AO$47=16</formula>
    </cfRule>
  </conditionalFormatting>
  <conditionalFormatting sqref="G26">
    <cfRule type="expression" dxfId="57" priority="48" stopIfTrue="1">
      <formula>MAX($AS$48,$AS$49)=2</formula>
    </cfRule>
    <cfRule type="expression" dxfId="56" priority="49" stopIfTrue="1">
      <formula>MAX($AS$48,$AS$49)=1</formula>
    </cfRule>
  </conditionalFormatting>
  <conditionalFormatting sqref="H26">
    <cfRule type="expression" dxfId="55" priority="46" stopIfTrue="1">
      <formula>$AS$50=2</formula>
    </cfRule>
    <cfRule type="expression" dxfId="54" priority="47" stopIfTrue="1">
      <formula>$AS$50=1</formula>
    </cfRule>
  </conditionalFormatting>
  <conditionalFormatting sqref="I26">
    <cfRule type="expression" dxfId="53" priority="44" stopIfTrue="1">
      <formula>$AS$51=2</formula>
    </cfRule>
    <cfRule type="expression" dxfId="52" priority="45" stopIfTrue="1">
      <formula>$AS$51=1</formula>
    </cfRule>
  </conditionalFormatting>
  <conditionalFormatting sqref="J26">
    <cfRule type="expression" dxfId="51" priority="42" stopIfTrue="1">
      <formula>MAX($AS$52,$AS$53)=2</formula>
    </cfRule>
    <cfRule type="expression" dxfId="50" priority="43" stopIfTrue="1">
      <formula>MAX($AS$52,$AS$53)=1</formula>
    </cfRule>
  </conditionalFormatting>
  <conditionalFormatting sqref="K26">
    <cfRule type="expression" dxfId="49" priority="40" stopIfTrue="1">
      <formula>MAX($AT$49,$AT$52)=2</formula>
    </cfRule>
    <cfRule type="expression" dxfId="48" priority="41" stopIfTrue="1">
      <formula>MAX($AT$49,$AT$52)=1</formula>
    </cfRule>
  </conditionalFormatting>
  <conditionalFormatting sqref="L26">
    <cfRule type="expression" dxfId="47" priority="38" stopIfTrue="1">
      <formula>MAX($AT$47,$AT$53)=2</formula>
    </cfRule>
    <cfRule type="expression" dxfId="46" priority="39" stopIfTrue="1">
      <formula>MAX($AT$47,$AT$53)=1</formula>
    </cfRule>
  </conditionalFormatting>
  <conditionalFormatting sqref="G24">
    <cfRule type="expression" dxfId="45" priority="36" stopIfTrue="1">
      <formula>$AS$55=1</formula>
    </cfRule>
    <cfRule type="expression" dxfId="44" priority="37" stopIfTrue="1">
      <formula>$AS$55=2</formula>
    </cfRule>
  </conditionalFormatting>
  <conditionalFormatting sqref="G9">
    <cfRule type="expression" dxfId="32" priority="18" stopIfTrue="1">
      <formula>$I$7=$AD$28</formula>
    </cfRule>
  </conditionalFormatting>
  <conditionalFormatting sqref="D7">
    <cfRule type="cellIs" dxfId="31" priority="17" stopIfTrue="1" operator="between">
      <formula>0.0001</formula>
      <formula>1000</formula>
    </cfRule>
  </conditionalFormatting>
  <conditionalFormatting sqref="I9">
    <cfRule type="expression" dxfId="30" priority="8" stopIfTrue="1">
      <formula>$I$9&lt;&gt;""</formula>
    </cfRule>
  </conditionalFormatting>
  <conditionalFormatting sqref="K9">
    <cfRule type="expression" dxfId="29" priority="7" stopIfTrue="1">
      <formula>$X$103&lt;0</formula>
    </cfRule>
  </conditionalFormatting>
  <conditionalFormatting sqref="C21:D21">
    <cfRule type="expression" dxfId="28" priority="2" stopIfTrue="1">
      <formula>$AJ$11=1</formula>
    </cfRule>
    <cfRule type="expression" dxfId="27" priority="4" stopIfTrue="1">
      <formula>$C$21&lt;&gt;""</formula>
    </cfRule>
  </conditionalFormatting>
  <conditionalFormatting sqref="C20:D20">
    <cfRule type="expression" dxfId="26" priority="3" stopIfTrue="1">
      <formula>$C$20&lt;&gt;""</formula>
    </cfRule>
  </conditionalFormatting>
  <dataValidations xWindow="912" yWindow="395" count="24">
    <dataValidation type="list" allowBlank="1" showErrorMessage="1" errorTitle="Erreur de saisie" error="Veuillez choisir dans la liste déroulante" promptTitle="Type de formule" sqref="I7:J7" xr:uid="{7ABCA2C9-2D49-41C1-9EDE-70234783F9C9}">
      <formula1>$BP$60:$BP$61</formula1>
    </dataValidation>
    <dataValidation allowBlank="1" showErrorMessage="1" sqref="F11:F13 F16" xr:uid="{2D6CC66C-06FB-4A77-8BF6-D8A39FAE7264}"/>
    <dataValidation type="list" allowBlank="1" showErrorMessage="1" errorTitle="Erreur de saisie" error="Veuillez choisir dans la liste déroulante" promptTitle="Le facteur racial" sqref="C19:D19" xr:uid="{BEF155E1-7310-43BC-AE79-FFB4E97ADC00}">
      <formula1>$BY$4:$BY$50</formula1>
    </dataValidation>
    <dataValidation type="list" allowBlank="1" showErrorMessage="1" errorTitle="Erreur de saisie" error="Veuillez choisir dans la liste déroulante" promptTitle="Le facteur sanitaire" prompt="Normal (facteur 1)_x000a_Obésité (facteur 0,6)_x000a_Inactivité (facteur 0,8)_x000a_Métabolisme (facteur 0,7 ou 1,5)" sqref="C23:D23" xr:uid="{5388D33B-6DA3-41D4-AC37-160A1B49353D}">
      <formula1>$CD$40:$CD$44</formula1>
    </dataValidation>
    <dataValidation type="list" allowBlank="1" showErrorMessage="1" errorTitle="Erreur de saisie" error="Veuillez choisir dans la liste déroulante" promptTitle="Le facteur comportemental" prompt="Très calme (facteur 0,8)_x000a_Calme (facteur 0,9)_x000a_Normal (facteur 1)_x000a_Actif/sportif (facteur 1,1)_x000a_Hyperactif/grand sportif (facteur 1,2)" sqref="C21:D21" xr:uid="{B1F276D1-0548-4689-8EF1-062847F8FCF3}">
      <formula1>$CD$4:$CD$6</formula1>
    </dataValidation>
    <dataValidation type="list" allowBlank="1" showErrorMessage="1" errorTitle="Erreur de saisie" error="Veuillez choisir dans la liste déroulante" promptTitle="Le facteur physiologique" prompt="Adulte (facteur 1)_x000a_Stérilisé  (facteur 0,75)_x000a_Croissance (facteur 2 à 1,2)_x000a_Gestation (facteur 1 à 1,5)_x000a_Lactation (facteur 2,5 à 1,8)_x000a_Senior 2/3 de l'espérance de vie (facteur 0,85)" sqref="C20:D20" xr:uid="{89340CA0-DE0A-4154-AA7D-D5990CA0829E}">
      <formula1>$CI$4:$CI$9</formula1>
    </dataValidation>
    <dataValidation type="list" allowBlank="1" showErrorMessage="1" errorTitle="Erreur de saisie" error="Veuillez choisir dans la liste déroulante" promptTitle="Choix du CMV" sqref="I8:J8" xr:uid="{A2C37A1A-18A9-4C99-B794-7835B946835D}">
      <formula1>$BP$42:$BP$49</formula1>
    </dataValidation>
    <dataValidation type="list" allowBlank="1" showErrorMessage="1" errorTitle="Erreur de saisie" error="Veuillez choisir dans la liste déroulante" promptTitle="Le facteur sanitaire" prompt="Normal (facteur 1)_x000a_Obésité (facteur 0,6)_x000a_Inactivité (facteur 0,8)_x000a_Métabolisme (facteur 0,7 ou 1,5)" sqref="C22:D22" xr:uid="{EDAF6C39-3CAE-4491-BCAF-E9A9C6976BE4}">
      <formula1>$CI$40:$CI$42</formula1>
    </dataValidation>
    <dataValidation type="list" allowBlank="1" showErrorMessage="1" errorTitle="Erreur de saisie" error="Veuillez choisir dans la liste déroulante" promptTitle="Le facteur sanitaire" prompt="Normal (facteur 1)_x000a_Obésité (facteur 0,6)_x000a_Inactivité (facteur 0,8)_x000a_Métabolisme (facteur 0,7 ou 1,5)" sqref="C24:D24" xr:uid="{B2A62BCE-AB4D-46CB-9AE3-A8E7BAD6A594}">
      <formula1>$CD$28:$CD$30</formula1>
    </dataValidation>
    <dataValidation type="list" allowBlank="1" showErrorMessage="1" errorTitle="Erreur de saisie" error="Veuillez choisir dans la liste déroulante" promptTitle="Option yaourt" sqref="G12" xr:uid="{F83EA854-411B-42E5-BF39-6548EB3AF77D}">
      <formula1>$DN$3:$DN$13</formula1>
    </dataValidation>
    <dataValidation type="list" allowBlank="1" showErrorMessage="1" errorTitle="Erreur de saisie" error="Veuillez choisir dans la liste déroulante" promptTitle="Le facteur sanitaire" prompt="Normal (facteur 1)_x000a_Obésité (facteur 0,6)_x000a_Inactivité (facteur 0,8)_x000a_Métabolisme (facteur 0,7 ou 1,5)" sqref="C25:D25" xr:uid="{6DB8C370-5621-4CA4-A356-7868C9BCD71C}">
      <formula1>$CD$19:$CD$21</formula1>
    </dataValidation>
    <dataValidation type="decimal" allowBlank="1" showErrorMessage="1" errorTitle="Erreur de saisie" error="Veuillez entrer un chiffre supérieur à 0" promptTitle="Le poids de votre chien" sqref="D7" xr:uid="{6A597C58-AEB7-4EC2-94C6-6C3C738EE478}">
      <formula1>0</formula1>
      <formula2>150</formula2>
    </dataValidation>
    <dataValidation type="decimal" allowBlank="1" showErrorMessage="1" errorTitle="Erreur de saisie" error="Veuillez entrer un chiffre entre 0 et 100" sqref="K15 L9" xr:uid="{EEEFC304-8BB0-43C4-8FE1-6D49A3321ABD}">
      <formula1>0</formula1>
      <formula2>100</formula2>
    </dataValidation>
    <dataValidation type="list" allowBlank="1" showErrorMessage="1" errorTitle="Erreur de saisie" error="Veuillez choisir dans la liste déroulante" promptTitle="Option oeuf" sqref="G11" xr:uid="{E344EBAC-C93E-405D-92E3-5CA4E4E21579}">
      <formula1>$DM$3:$DM$7</formula1>
    </dataValidation>
    <dataValidation type="list" allowBlank="1" showErrorMessage="1" errorTitle="Erreur de saisie" error="Veuillez choisir dans la liste déroulante" promptTitle="Les viandes" sqref="I11:J11" xr:uid="{6821FD27-1ACF-4B0A-88BB-A3F39FA3991F}">
      <formula1>$DK$3:$DK$52</formula1>
    </dataValidation>
    <dataValidation type="list" allowBlank="1" showErrorMessage="1" errorTitle="Erreur de saisie" error="Veuillez choisir dans la liste déroulante" sqref="I14:J14" xr:uid="{22870B0A-04DD-48E6-927A-D7CE3375F74A}">
      <formula1>$DH$3:$DH$12</formula1>
    </dataValidation>
    <dataValidation type="list" allowBlank="1" showErrorMessage="1" errorTitle="Erreur de saisie" error="Veuillez choisir dans la liste déroulante" sqref="I13:J13" xr:uid="{A525CCE6-C518-4E80-B720-24AB039E7F11}">
      <formula1>$DJ$3:$DJ$14</formula1>
    </dataValidation>
    <dataValidation type="list" allowBlank="1" showErrorMessage="1" errorTitle="Erreur de saisie" error="Veuillez choisir dans la liste déroulante" sqref="I12:J12" xr:uid="{9E733BD0-58FF-44EE-B603-F23DCBAAC8D2}">
      <formula1>$DI$3:$DI$21</formula1>
    </dataValidation>
    <dataValidation allowBlank="1" sqref="AA58:AA59 BC68:BC69" xr:uid="{6E92EE5E-853C-413B-82DD-B3EECE7D7010}"/>
    <dataValidation allowBlank="1" sqref="AH92:AI93 AH81:AI82 AS65:AS66 BL32:BM33 AH70:AI71 AH85:AI86 AH95:AI96 AH99:AI99 AH74:AI74 AI50:AJ51 AI54:AJ54 AQ83" xr:uid="{5BFF5FDB-A5F0-44D0-99CB-EBCEB420FF50}"/>
    <dataValidation type="decimal" allowBlank="1" showErrorMessage="1" errorTitle="Erreur de saisie" error="Veuillez entrer un chiffre supérieur à 0" promptTitle="Le poids de votre chien" sqref="C15" xr:uid="{1DF493F5-FD6F-4A4F-A7EF-7D8C044975EE}">
      <formula1>0</formula1>
      <formula2>20</formula2>
    </dataValidation>
    <dataValidation type="list" allowBlank="1" showErrorMessage="1" errorTitle="Erreur de saisie" error="Veuillez choisir dans la liste déroulante" sqref="G13" xr:uid="{11712FA3-49C2-405F-B81F-3D2A7B919638}">
      <formula1>$X$77:$X$85</formula1>
    </dataValidation>
    <dataValidation type="list" allowBlank="1" showErrorMessage="1" errorTitle="Erreur de saisie" error="Veuillez choisir dans la liste déroulante" promptTitle="Les viandes" sqref="I15:J15" xr:uid="{87BB8CA9-28EF-4646-AC2B-AB369952DF33}">
      <formula1>$DK$3:$DK$52</formula1>
    </dataValidation>
    <dataValidation type="list" allowBlank="1" showErrorMessage="1" errorTitle="Erreur de saisie" error="Veuillez choisir dans la liste déroulante" promptTitle="Choix du CMV" sqref="I9:J9" xr:uid="{3B65BBCE-6638-4863-BC82-8D20D29AB851}">
      <formula1>$W$98:$W$99</formula1>
    </dataValidation>
  </dataValidations>
  <hyperlinks>
    <hyperlink ref="B32" r:id="rId1" display="https://www.facebook.com/ToutSavoirSurAlimentationChienChat/" xr:uid="{BDD22D2C-D74B-46E1-B560-0197CCD463B1}"/>
    <hyperlink ref="B32:D32" r:id="rId2" display="https://www.unegamelleautop.fr/" xr:uid="{36C8FD65-E1F2-49F6-9F29-FE208A47247F}"/>
    <hyperlink ref="K40" r:id="rId3" xr:uid="{B961D10E-BAB2-4E59-9F6B-20EE23AB91FE}"/>
    <hyperlink ref="B34" r:id="rId4" display="https://pro.anses.fr/tableciqual/" xr:uid="{99DD02AF-8015-4B98-AE6C-D7749F7C4192}"/>
    <hyperlink ref="T9" r:id="rId5" xr:uid="{D4A90170-66EB-475C-8383-BB9D552FBF5E}"/>
    <hyperlink ref="T40" r:id="rId6" xr:uid="{4D0B6B69-F422-4F22-BBB6-E24D8A07934E}"/>
    <hyperlink ref="T71" r:id="rId7" xr:uid="{8E5BAE12-513E-44F4-85A1-226385829800}"/>
  </hyperlinks>
  <pageMargins left="0.7" right="0.7" top="0.75" bottom="0.75" header="0.3" footer="0.3"/>
  <pageSetup paperSize="9" orientation="portrait" r:id="rId8"/>
  <ignoredErrors>
    <ignoredError sqref="CO429:DD603 N29 H11 D15:E15 A1:M1 N88:N92 N61 M15 DF429:DF603 N46 M28 A6:M6 A69:A70 M57 A57 E16 K7:M7 A7 A33 A34 M9:M10 M16 N62 N75 N71 J19:M19 A10 A18 A15:A16 A17 A28 A32 A29:B29 A30 A31 A51:A55 A35 A9 N54 N60 N37 N31 N30 A14 A8 A13 A11 A12 B15 H14 H12:H13 H7:H8 N2:N10 A19:B19 G18:H18 A27:E27 N38:N45 N35:N36 N77:N85 N64:N70 N57:N59 N47:N48 F21:H21 N32 L12:N14 N72:N74 N76 N56 F20:H20 M25 F19:H19 F22:H22 N86 N28 CC429:CN603 N63 N199:R261 N49 BW429:BZ603 J17:M17 J22:M22 M29:M32 M33:N33 L8:M8 N53 N51 J18:M18 N87 N1 N50 A2 M2 A3 M3 A4 M4 N55 A26:E26 M26:N26 M23 M24 M27:N27 V429:BV603 A58 M58 A56 M56 A36 M36 M35 E34 E33 E32 E31 E30 M34:N34 L11 N11 G29 E8 D28:E28 E18 E17 N52 N93:N198 O52:R52 O11:Q11 O34:R34 Q16 O15:Q15 O27:R27 O24:R24 O23:R23 O26:R26 O55:R55 O50:R50 O1:R1 O87:R87 Q18:R18 O51:R51 O53:R53 O33:R33 O20:R22 Q17 O49:R49 O93:R198 O63:R63 O28:R28 O86:R86 O25:R25 O56:R56 O76:Q76 O72:Q74 O12:Q14 O32:R32 O47:Q48 O57:R59 O64:R66 O80:R85 O35:R35 O38:Q45 O2:R4 O30:R30 O31:R31 O37:Q37 O60:R60 O54:R54 Q19:R19 O71:Q71 O75:Q75 O62:R62 O46:Q46 O61:R61 O88:R92 O29:R29 DQ102:DQ261 DQ9:DQ101 DS1:EF1 DR11:EF11 DR32:EF32 DR27:EF27 DR22:EF22 DR23:EF23 DR21:EF21 DR20:EF20 DR24:EF24 DR25:EF25 DR26:EF26 DR19:EF19 DR18:EF18 DS6:EF6 DS8:EF8 DS7:EF7 DR88:EF88 DR74:EF74 DR75:EF75 DR76:EF76 DR77:EF77 DR78:EF78 DR79:EF79 DR80:EF80 DR81:EF81 DR82:EF82 DR83:EF83 DR84:EF84 DR85:EF85 DR86:EF86 DR87:EF87 DR57:EF57 DR48:EF53 DR45:EF47 DR64:EF64 DR61:EF63 DR60:EF60 DR58:EF59 DR42:EF42 DR39:EF39 DR38:EF38 DR37:EF37 DR36:EF36 DR34:EF34 DR33:EF33 DR35:EF35 DR54:EF54 DQ262:EF321 DR93:EF101 DR89:EF92 DR73:EF73 DR66:EF66 DR67:EF67 DR68:EF68 DR69:EF69 DR70:EF70 DR71:EF71 DR72:EF72 DR65:EF65 DR55:EF55 DR56:EF56 DR28:EF28 DR29:EF29 DR30:EF30 DR31:EF31 DR44:EF44 DR43:EF43 DR40:EF40 DR41:EF41 DR17:EF17 DR16:EF16 DR15:EF15 DR13:EF13 DR14:EF14 DR10:EF10 DR12:EF12 DR9:EF9 DS2:EF2 DS3:EF3 DS4:EF4 DS5:EF5 DR102:EF261 A5 M5 E7 E9 G17:H17 A37:A50 M37:M50 A59:A66 M59:M66 M51:M55 A67 M67 A82:M603 A71:A72 M71:M72 A68 M68 M69:M70 D29:E29 O5:Q10 O36:Q36 O67:Q70 O77:Q79 A22:B25 A21 A20 J20:M20 J21:M21 E10:G10 E13 E11 E12 E14 A73:A81 M73:M81 V421:BV428 BW421:BZ428 CC421:CN428 DF421:DF428 CO421:DD428 DE421:DE428 DG421:DP428 CA421:CB428 S421:U428 CS9 CS8 CS7 CS6 CS5 CS4 BM26:BS26 BM29:BS29 BM30:BS30 BM28:BS28 BM27:BS27 BN23 CQ6 CQ7 CQ8 CQ4 CQ5 CQ9 U1 S1:T1 V1:BV1 BX1:BZ1 DE1 DF1:DO1 CC1:DD1 CA1:CB1 BW1 CL21:DE21 AE91:AE92 AE89:AI90 AF91:AI92 AE88:AI88 BH13:BU13 BH14:BN14 BH12:BN12 BH15:BV15 Z80:AB80 X80 Z81:AB81 X81 Z82:AB82 X82 Z83:AB83 X83 X84:AB85 AE85:AH85 DF9 DF8 DF7 DF6 DF5 DF4 AP70:AT70 AE56:AE57 DA9 DA8 DA7 DA5 DA4 CN9 CE35:CN35 CC35 CC36:CN38 CE12:CH12 CC12 CC13:CH13 CE14:CH14 CC14 CC15:CH17 CF30:CG30 CD30 CF29:CG29 CD29 CD31:CG31 CF44:CG44 CF43:CG43 CD43 CF42:CG42 CF41:CG41 CD41 CD42 CF6:CG6 CF5:CG5 CW9:CY9 CW8:CY8 CW7:CY7 CW6:CX6 CX5:CY5 CW4:CY4 CP9 DA6 CP5 CP4 CP8 CP7 CP6 CK6:CN6 AN77 AP77 AP76 AO78:AP78 AN78 AO77 AO57 AA52:AB52 AA51 AA50 AA49:AB49 AA47 AA46:AB46 AA45:AC45 AB44:AC44 AA43:AC43 AB42:AC42 V42:Y42 AO81:AQ81 AM81 V77:V79 V36 DC4:DD4 DC9:DD9 DC8:DD8 DC7:DD7 DC6:DD6 DC5:DD5 DD14:DE16 DD11:DE11 DD12:DE12 DD13:DE13 DD10:DE10 AQ83 AM83:AO83 Z104 Z103 Z106 Z107:AA107 Z102 Z105 AA102 AA101 AA106 AA103 AA104 AA105 AB101 AA59 AA58 AB55 AB57:AB58 AA56:AB56 AA57 AB59 Z35 Z34 Z31 Z36 Z32 AA41 AA40 AA39 AA33 AA31 AA32 Z37:AA37 Z38:AA38 Z33 AA34 AA35 AA36 AB39:AC39 AB40:AC40 AB41:AC41 V41:Y41 AL12 AL11 AI11 AP118:AR118 AN118 AQ87 AO119:AR119 AN115:AQ115 AQ122:AT122 AN122:AO122 BP12:BU12 BP14:BT14 BJ70 BH70 BH71:BK71 DO22:DP22 DO23:DP23 DO21:DP21 DO20:DP20 DO24:DP24 DO25:DP25 DO26:DP26 DO27:DP27 DO18:DP18 DO19:DP19 DO6 DO8 DO7 DO74:DP74 DO75:DP75 DO76:DP76 DO77:DP77 DO78:DP78 DO79:DP79 DO80:DP80 DO81:DP81 DO82:DP82 DO83:DP83 DO84:DP84 DO85:DP85 DO86:DP86 DO87:DP87 DO48:DP53 DO45:DP47 DO61:DP63 DO60:DP60 DO58:DP59 DO39:DP39 DO37:DP37 DO34:DP34 DO38:DP38 DO33:DP33 DO35:DP35 DO36:DP36 DO54:DP54 DO93:DP101 DO89:DP92 DO88:DP88 DO66:DP66 DO67:DP67 DO68:DP68 DO69:DP69 DO70:DP70 DO71:DP71 DO72:DP72 DO73:DP73 DO65:DP65 DO64:DP64 DO55:DP55 DO56:DP56 DO57:DP57 DO28:DP28 DO29:DP29 DO30:DP30 DO31:DP31 DO32:DP32 DO44:DP44 DO43:DP43 DO40:DP40 DO41:DP41 DO42:DP42 DO16:DP16 DO13:DP13 DO14:DP14 DO15:DP15 DO17:DP17 DO10:DP10 DO12:DP12 DO11:DP11 DO9:DP9 DO4 DO5 DO3 DL22 DL23 DL21 DL20 DL24 DL25 DL26 DL27 DL18 DL19 DL6 DL8 DL7 DL74 DL75 DL76 DL77 DL78 DL79 DL80 DL81 DL82 DL83 DL84 DL85 DL86 DL87 DL48:DL53 DL45:DL47 DL61:DL63 DL60 DL58:DL59 DL39 DL37 DL34 DL38 DL33 DL35 DL36 DL54 DL93:DL101 DL89:DL92 DL88 DL66 DL67 DL68 DL69 DL70 DL71 DL72 DL73 DL65 DL64 DL55 DL56 DL57 DL28 DL29 DL30 DL31 DL32 DL44 DL43 DL40 DL41 DL42 DL16 DL13 DL14 DL15 DL17 DL10 DL12 DL11 DL9 DL4 DL5 DL3 BM46:BN46 X13:Y13 BK33 BK32 BD32:BH32 BD33:BH33 Y53:AB53 Y54:AA54 Y50 Y51 Y49 Y48:AA48 AA95:AC95 V95 AA108:AB108 AB107 AB105 AB104 AB103 AB106 AA98:AB100 AA97:AB97 AA96:AB96 AB102 BK34 BD34:BH34 BD35:BK40 BV25 BQ23:BS23 BF23:BM23 BQ42:BU42 BR61:BU61 AM3 AS32:AU32 AS36:AU36 AS38:AU38 AM4 AS35:AU35 AS37:AU37 AS34:AU34 AS33:AU33 AS39:AU39 AS41:AU41 AS40:AU40 CA88:CB198 BY27:CB27 CA80:CB80 CA72:CB72 CA71:CB71 CA70:CB70 CA78:CB78 CA77:CB77 CA76:CB76 CA75:CB75 CA74:CB74 CA73:CB73 BY19:CB19 BY18:CB18 AL262:AV321 CA87:CB87 BY45:CB50 BY32:CB38 BY39:CB39 BY40:CB44 BY28:CB31 BY20:CB20 BY21:CB21 CA86:CB86 BY4:CB4 BY8:CB8 BY9:CB9 BY6:CB6 BY7:CB7 BY5:CB5 BY10:CB17 CA2:CB2 BY22:CB25 BY26:CB26 CA51:CB69 CI40:CL42 CD44 CD40:CG40 CD28:CG28 CD20:CG20 CD23:CG25 CD19:CG19 CI4:CN4 CI8:CN8 CI9:CL9 CI6 CI7:CN7 CI5:CN5 CF4:CG4 CD8:CG8 CD9:CG9 CD7:CG7 CA199:CB261 CA262:CB321 DF2 DF3 AL199:AV261 U262:U321 DG262:DP321 CA81:CB85 CA79:CB79 CA3:CB3 CQ2:DC2 CY3:DC3 DE262:DE321 CO28:DD321 DF10:DF321 CM3:CX3 CO2 CF18:CH18 CC3:CL3 CC39:CN39 CC27:CH27 BX3 CC2:CN2 BX79:BZ79 CP2 BX81:BZ85 BY3:BZ3 DG22 DG23 DG21 DG20 DG24 DG25 DG26 DG27 DG18 DG19 DG6 DG8 DG7 DG74 DG75 DG76 DG77 DG78 DG79 DG80 DG81 DG82 DG83 DG84 DG85 DG86 DG87 CI27:DD27 DG48:DG53 DG45:DG47 DG61:DG63 DG60 DG58:DG59 DG39 CC10:CH11 DG37 DG34 DG38 DG33 DG35 DG36 DG54 DG93:DG101 DG89:DG92 DG88 DG66 DG67 DG68 DG69 DG70 DG71 DG72 DG73 DG65 DG64 DG55 DG56 DG57 CD18:CE18 CC26:DD26 DG28 DG29 DG30 CC32:CN34 DG31 DG32 DG44 DG43 DG40 DG41 DG42 DG16 DG13 DG14 DG15 DG17 DG10 DG12 DG11 DG9 DG2:DO2 DG3 DG4 DG5 CC45:CN321 U199:U261 DE2:DE3 BW199:BZ321 DG102:DP261 CH20:DE20 DE22:DE261 CC4:CC9 CH4:CH9 CH19 CC18:CC25 CH22:DD25 CC28:CC31 CH28:CN31 CC40:CC44 CH43:CN44 CH40:CH42 CM40:CN42 BX51:BZ69 BX22:BX26 BX2:BZ2 BX4:BX17 BX86:BZ86 BX21 DD2 DD3 BX20 BX28:BX50 BX87:BZ87 V199:AK321 AW199:BV321 BX18 BX19 CI17:DE19 BX73:BZ73 BX74:BZ74 BX75:BZ75 BX76:BZ76 BX77:BZ77 BX78:BZ78 BX70:BZ70 BX71:BZ71 BX72:BZ72 BX80:BZ80 BX27 BX88:BZ198 AM8 AM9 AM7 AM13:AS13 AN14:AS14 AN16:AS16 AN15:AS15 AN9:AS9 AN8:AS8 AN7:AS7 AM11:AS11 AM10:AS10 Y52 U52:V52 Y47 Y46 BR62:BU62 BS22 BM22 BN22:BR22 BV23 BW27 BK72 BK73 BH68:BK69 BH72:BJ72 BH73:BJ73 AX68:AZ68 BL27 BD27:BK31 BF24:BS24 AX3:AY11 AZ15:BB18 AN134:AU137 AS69 AT66 AT65 AS67:AT67 AQ69 AO69 AP69 AP67:AR67 AP65:AR65 AS65 AS66 AP66:AR66 AP68:AR68 AR69 AO65 AO68 AO67 AO66 AT69 AN123:AT132 AN116:AR117 AQ104 AN104:AO104 AO105:AT105 AQ108:AR108 AP107 AO106 AQ109:AR109 AN103:AT103 AQ107:AT107 AP106:AT106 AO107 AO108:AP108 AS109:AT109 AS108:AT108 AN105 AN109:AP109 AN106:AN108 AP104 AR104:AT104 AL109:AM109 AU109:BV109 AR95 AN95 AN96:AT101 AO95:AQ95 AS95:AT95 AT87 AN91 AO87 AN88:AT90 AR87:AS87 AO91:AT91 AT81:AT83 AT84 AQ84 AM84:AO84 AM85:AQ86 AM76 AM78 AM80:AO80 AM79:AO79 AM82:AQ82 AM75 AM77 AP75:AQ75 AP80:AQ80 AQ78 AQ76 AQ77 AP84 AM57 AM60:AR60 AM61:AR61 AM58:AR58 AM59:AR59 AR57 AS55:AT55 AN55:AO55 AP51 AQ54 AN54:AO54 AN56:AO56 AO52:AP52 AP54 AO51 AU50 AR55 AR56:AS56 AU54 AU52:AU53 AU51 AU49 AR54 AS54 AS52 AS49 AQ51:AS51 AS50 AU55:AU56 AO53 AF98:AI98 AF99:AH99 AE100:AI101 AE97:AI97 AI99 AE98:AE99 AE86:AH87 AE84:AI84 AI86:AI87 AF54:AJ57 AE58:AJ58 AE54 AT11:AV11 AS42:AS43 AT42:AX43 AL24 AH27 AL25 AL26 AL27 AE27:AF27 AH28 AI24 AI28:AK28 AI27:AK27 AI26:AK26 AE28:AG28 AI25:AK25 AG27 AE24:AG25 AJ24:AK24 AE26:AH26 AH24 AH25 AL28 AJ16:AK16 AE16:AH16 AE19:AH19 AE17 AE18:AH18 AJ20 AL20 AE20:AH20 AE21:AH21 AG14:AI14 AH13:AI13 AE15:AK15 AF5:AH5 AF7 AF6:AH6 AL7 AL5 AL6 AJ13:AL13 AJ14:AL14 AE11 AL10 AJ21:AL21 AK20 AE10:AI10 AE12 AE13:AF14 AI20:AI21 AJ5:AK9 AI12 AI17 AI19:AL19 AJ17:AL17 AL16 AI18:AL18 AI16 AF17:AH17 AL15 AE8:AI9 AE5 AI5 AE6 AI6 AE7 AG7:AH7 AL8 AL9 Z15 Z14 Z13 Z9 Z10 Z5:AA8 Z11 Z16 AA11 AA3 Z3 Z4:AA4 Z12:AA12 Z2:AA2 AA9 AA10 AA13 AA14 AA15 AA16 AB2:AC2 AB12:AC12 AB4:AC4 Z20:AA20 Z21:AA21 Z22:AA22 AA28 W28 Z23 W23 W25 Y33 W33 W29:X29 W20 Z27:AA27 X30:AA30 X34 X33 Y25:AA25 Y23 W32:X32 W38:Y38 Y26:AA26 Y28:Z28 Y24:AA24 W37:Y37 W31:Y31 W22:Y22 W34 W30 W35:X35 W36:X36 W21:Y21 X28 W24 W27 X27 X25 X23:X24 X26 Y29:AA29 X20:Y20 AA23 W26 AB37:AC37 AB38:AC38 BV52:BV53 BL57:BL58 AU57:BG58 BN47 AV33 BW80 AT9:AV9 AT15:AW15 AI4 AT8:AV8 AT7:AV7 AB28:AC28 AB16:AD16 AB15 AB14 X14 AD7 AD6 AD5 AD8:AD9 BL73:BO73 AW73:BD73 BL72:BW72 BL71:BW71 BL70:BW70 BL69:BO69 BL68:BO68 BL67:BO67 BD67 BD68 BD69 BB67 BB68 BL65:BO65 AU65:AW65 AU66:BO66 AU80:BO80 BW78 BW77 BW76 BW75 BW74 BW73 X72:AC72 BI20:BJ20 BT31:BV31 BT30:BV30 BT29:BV29 BT28:BV28 BT25 BT24 BT23 BT33:BV33 BT22 BS6:BV6 BS7:BV7 BU14:BV14 BV10 BS19:BW19 BS18:BW18 U34:V34 AV39:AX39 V39:Y39 AB23:AC23 V20 AB29:AV29 AV35:AX35 AB35:AC35 AB36:AC36 AU26:AV26 AU27:AV27 AM27:AQ27 AU19:BM19 AU25:AV25 BV11 BV12 BV13 AZ2:BV2 X59:Y59 AB33:AC33 AB34:AC34 BK59:BL59 BK60:BP60 BK61:BO61 AU67:AW67 AC15:AD15 V15 AU68:AW68 AU69:BB69 AE93 AW141:BV198 AV111:BV111 AV113:BV140 V113:AK198 AE75:AE78 BL55:BL56 AV55:BG56 BC5:BC6 BD7:BP7 AZ7:BC7 BF5 BF6 BG4 BG5 BG6 AN94:AT94 AS75:AT76 AS47 AE95:AE96 AE82:AE83 AE71:AE73 AE65:AE67 AD24:AD25 AA63:AB63 AL110:AP110 V109:AB110 AL108 AL107 AL105:AM105 AL104 AL103 AL106 AL98:AL101 AL97 AL96 AL102:BV102 AP26:AQ26 AM26:AN26 AM28:AV28 AN65 AP64 AT18:AW18 AL94:AL95 V94:AC94 AL55 AL87 AM53 AL56 AL79:AL80 AL72 AL73 AL74 AL71:AV71 AL66:AN66 AL68:AN68 AU108:BV108 AV112:BV112 V112:AK112 AS110:BV110 V111:AK111 V108 AM51 AU106:BV106 AL69:AN69 AU107:BV107 V107 AU105:BV105 V105 AU104:BV104 V104 AU103:BV103 V103 V106 AU100:BV100 AU99:BV99 AU98:BV98 AU101:BV101 V98:V101 AU97:BV97 V97 AL77 AL76 AL78 AC78 AC79:AC80 AU94:BV96 V96 AU93:BV93 AB10:AC10 AU87:BW87 AU73:AV73 AU88:BV92 AL88:AL92 AL70 BN48 BN54:BO54 BW28:BW50 U27 U24:V24 BH6:BP6 BH5:BV5 BH4:BV4 AB9:AC9 BD6 AZ6:BA6 BJ3:BV3 BD5 AZ5:BA5 BD4 AZ4:BA4 AZ8:BV9 BN49:BO50 BN51:BO51 AL75 AC76 AB8:AC8 AB7:AC7 AL67:AN67 BS20:BW20 BO36:BV36 BO34:BV35 AV49:BB49 BM37:BV37 AV36:AX37 BM39:BV40 BM38:BO38 AT16:AW16 AM20:AQ20 AM21 U23:V23 AT3:AV3 AT2:AV2 U26 AV51:BE51 AV52:BE53 AV54 AU45:AX47 AT61 AT60 AL57 U55:Z55 AU48:AX48 AV50:BE50 BO21:BW21 BO20:BP20 BO19:BP19 BQ17:BV17 AT17:AW17 AB5:AC5 U50:V50 AU86:BW86 U87:AC87 U18:AD18 AU72:BD72 AU70:BD70 AU21:BM21 BW4:BW17 AW71:BD71 AM19:AQ19 BW2 BW22:BW26 BW51:BW69 AM52 U51:V51 U53:V53 BT32:BV32 BT27 BT26 BV42:BV51 BM42:BO45 AV32 AU23:AV24 U33:V33 AT12:AV12 AZ3:BA3 X64:AC64 V64 X62:AB62 BR77:BU77 BR76:BU76 BR75:BU75 BR74:BU74 U20:U22 V17:AD17 BL20 AB22:AD22 AB20:AD21 AC63 AM24 AC62 BW88:BW198 AB60:AC60 X16:Y16 AJ2:AK4 AM22 W77 W78 W79 W80 W81 W82 W83 W84 W85 X57:Z57 V21 U49:V49 X19 AC13:AD14 U93:U198 U63:Y63 AS64 AQ64 AU64:BO64 AW54:BE54 BP61 AU59:BH59 Z58 U28 AD4:AE4 AL59 AL58 AL61 AL60 AB32:AC32 U86:AB86 U25 BP64:BU64 BP74:BP77 BP73:BU73 BP66:BU69 Z59 BP56:BU57 X58:Y58 AD3:AI3 BP65:BU65 BP38 AU81:BW85 U56:Z56 V76:AB76 BW79 AW74:BO79 AA68 AA67 AU20:BF20 U32 U57:V59 AA66 U64:U66 U80:V85 U35:V35 AE22:AL22 U2:U4 AB13 AD12 X15 AD10 AD2:AI2 V2:Y2 V10:Y10 V7:Y7 V14 V12:Y12 V11:Y11 V13 V6:Y6 V4:Y4 V5:Y5 V16 V22 U30:V30 U31:V31 V40:Y40 V8:Y8 V9:Y9 V26:V28 V37 AV34:AX34 V66:Z66 U60:AA60 U54:V54 V44:Y44 V45:Y45 V47 V102 AB24:AC24 V3:Y3 AT10:AV10 AM25:AQ25 U19:V19 V67:Z67 V68:Z68 V69:AC69 V70:AC70 V71 V72 V73:AC73 V74:AC74 V75:AC75 BQ38:BV38 BV64:BV69 BV54:BV57 BW3 AB26:AC26 V38 V48 AB3:AC3 V32 U62:V62 V43:Y43 BM41:BV41 BM58:BV59 BN52:BO53 BM55:BO57 AB31:AV31 X71:AC71 AB25:AC25 AB11:AD11 AT30:AV30 AL62:BP62 AB30:AC30 BV61:BV62 BR60:BV60 AB6:AC6 V46 AC77 AU22:BJ22 AU60:BH60 AU61:BH61 AR64 U61:AC61 V65:AC65 AB66:AC66 AB67:AC67 AB68:AC68 U88:AC92 AL54 AU74:AV79 AL85 AL86 AL84 AL83 AL63:BV63 AL65 AL64:AN64 AC81:AC86 AL93 V93:AC93 AT14:AW14 AT13:AV13 Y19:AD19 AL82 AL81 AD30:AO30 U29:V29 AD23:AM23 AP30:AS30 X77:AB79 AB27:AC27 AM6:AV6 AL3 AM5:AV5 AL4 AL2 AV40:AX40 AS44:AX44 AV38:AX38 AY38:BC38 AY44:BL44 AY40:BC40 AM2:AS2 AW4 AW5 AN3:AS3 AW6 AD87 AD80:AK80 AW30:BC30 AN23:AT23 AD85 AD81:AK81 AS81 AD82 AS82 W19 AW13:BE13 AX14:BE14 AD94:AK94 AD93 AM93:AT93 AD86 W64 AO64 AM65 Z63 AD83 AR83:AS83 AD84 AR86:AT86 AR85:AT85 AD78 BP78:BV78 BQ76 AC55:AD55 AB54:AD54 AM54 AD88:AD90 AD68:AK68 AD67 AD66 AD65 W62 AD61:AK61 AT64 W59 W57 AC58:AD58 BI61:BJ61 AD60:AK60 BI60:BJ60 BK22:BL22 AD77 W46:X46 BQ62 V25 W71 AD71 AW31:BC31 BP55:BU55 AC57:AD57 BP52:BU53 AC50 AC48 AD76 AD75 AD74:AK74 AD73 W72 AD70 AD69:AK69 AR25:AT25 AW10 AC105:AK105 AC102:AK102 AS45:AT45 AY34:BC34 Y14 Y15 AN22:AT22 BG20:BH20 BP79:BV79 AC56:AD56 W58 BV73 BQ77 AF4:AH4 BI59:BJ59 BF54:BM54 AC49 AS46:AT46 AD62:AK62 AN24:AT24 AD63:AK63 BN20 BQ74 BV74 BQ75 BV75 BV76 BV77 AD64:AK64 BB3:BI3 AW12:BE12 AW23:BE23 AW24:BE24 AW32:BC32 BQ44:BU44 BQ43:BU43 BQ45:BU45 BQ46:BU46 AY36:BC36 AY37:BC37 AC53 AC51 AR19:AT19 BE71:BG71 BN21 BE70:BG70 BE72:BG72 AX17:AY17 BQ19:BR19 BQ20:BR20 BF50:BM50 AY48:BM48 BH58:BK58 BH57:BK57 AY45:BL45 AY46:BL46 AY47:BM47 BF53:BM53 BF52:BM52 BF51:BM51 AW2:AY2 AW3 AN21:AT21 AR20:AT20 AX16:AY16 BC49:BM49 BQ51:BU51 BQ50:BU50 BQ49:BU49 BB4 BE4 BB5 BE5 BB6 BE6 BQ6:BR6 BP54:BU54 BQ48:BU48 AM70:AN70 AM88:AM90 BE73:BG73 AC100:AD100 AC96:AD96 AD79:AK79 AC97:AD97 AC101:AD101 AC98:AD98 AC99:AD99 AC109:AK109 AC106:AK106 AC103:AK103 AC104:AK104 AC107:AK107 AC108:AK108 AL141:AV198 AL111:AU111 AC110:AK110 AL112:AU112 AM74:AT74 AM73:AT73 AM72:AT72 AM56 AM87 AM55 AM95 AX18:AY18 AW28:BC28 AO26 AR26:AT26 AM96 AM97 AM100 AM101 AM98 AM99 AM106 AM103 AM104 AM107 AM108 AQ110:AR110 AF67:AK67 AF66:AK66 AF65:AK65 AF71:AK71 AF73:AK73 AF72:AK72 AF70:AK70 AF82:AK82 AF83:AK83 AD95 AF95:AK95 AF96:AK96 AM94 BQ7:BR7 BH56:BK56 BH55:BK55 AF78:AK78 AF77:AK77 AF76:AK76 AF75:AK75 AL113:AU114 AC59:AK59 AF93:AK93 BC69 BA68 AX67:BA67 AW25:BS25 BN19 AR27:AT27 AW27:BC27 AW26:BL26 AY35:BC35 AW29:BC29 AY39:BC39 BU22:BV22 BU23 BU24 BU25 BK20 AD72 BP80:BV80 AX65:BK65 BC68 BC67 BE69:BG69 BE68:BG68 BE67:BK67 AD28 AW7 AW8 AX15:AY15 AW9 AW33:BC33 BQ47:BU47 AY42:BL43 AY41:BL41 AW11 AK55 AK54 AK57 AK56 AL52 AL53 AL51 AK58 AD91:AD92 AJ91:AK92 AJ87:AK87 AJ86:AK86 AK85 AJ84:AK84 AJ88:AK90 AJ98:AK98 AJ99:AK99 AJ97:AK97 AJ100:AK100 AJ101:AK101 AR84:AS84 AS77:AT77 AS78:AT78 AS80:AT80 AS79:AT79 AM92:AT92 AM91 AL120:AU121 AL115:AM119 AS115:AU119 AL133:AU133 AL122:AM132 AU122:AU132 AL138:AU140 AL134:AM137 BC17:BP17 BC16:BV16 BC18:BR18 BC15:BE15 AZ10:BU10 AZ11:BU11 BL38 BL40 BL30 BL31:BS31 BL34:BN34 BL32:BS32 BL36:BN36 BL37 BL28 BL35:BN35 BL29 BL39 BL33:BS33 AC46 AC47 AC52 AN4:AV4 AV41:AX41 S29:T29 S88:T92 S61:T61 S62:T62 S19:T19 S54:T54 S60:T60 S31:T31 S30:T30 S2:T4 S35:T35 S80:T85 S64:T66 S57:T59 S32:T32 S56:T56 S25:T25 S86:T86 S28:T28 S63:T63 S93:T198 S49:T49 S20:T22 S33:T33 S53:T53 S51:T51 S18:T18 S87:T87 S50:T50 S55:T55 S26:T26 S23:T23 S24:T24 S27:T27 S34:T34 S52:T52 AW322:BV334 V322:AK334 BW322:BZ334 S199:T261 CC322:CN334 DF322:DF334 CO322:DD334 S5:U5 DE322:DE334 DG322:DP334 S262:T321 CA322:CB334 S322:U334 AL322:AV334 W54:X54 W52:X52 S36:U36 Y34 AA55 W51:X51 W50:X50 W53:X53 W49:X49 W95:Z95 S71:U71 Y81 Y35 S44:U44 S41:U41 AD52:AK52 S48:U48 S47:U47 AD47:AR47 S46:U46 AD46:AR46 S40:U40 S39:U39 CD35 BU27:BV27 S38:U38 S37:U37 S13:U13 S11:U11 S10:U10 S17:U17 S15:U15 BF15:BG15 S16:U16 CI16:DC16 AP122 AR115 S79:U79 Y80 S78:U78 S77:U77 W101:Z101 W100:Z100 W98:Z98 W97:Z97 W99:Z99 AS58:AT58 AN51 AN53 AN52 AN57 S42:U42 BP42 BI33:BJ33 S9:U9 S8:U8 S7:U7 S67:U67 S68:U68 S69:U69 S74:U74 S72:U72 BM20 BV24 BU26:BV26 AS59:AT59 S76:U76 S75:U75 AN75:AO75 AN76:AO76 W96:Z96 Y83 AP83 Y82 AR82 S70:U70 S73:U73 W108:Z108 W107:Y107 W105:Y105 W104:Y104 W103:Y103 W106:Y106 AP55:AQ55 AN87 AP56:AQ56 AP79:AR79 AO70 S6:U6 BF4 BC4 BP49 BP51 BO47:BP47 BO46:BP46 S45:U45 BP45 BO48:BP48 BP50 BI70 AD51:AK51 AD53:AK53 BP43 BI32:BJ32 BP23 S12:U12 BF12:BG12 AD49:AR49 S14:U14 BI34:BJ34 AE70 AD48:AT48 AD50:AR50 Z46 BQ60 AS60 AS61 AS68:AT68 AE55 BF14:BG14 BF13:BG13 AN81 AI85:AJ85 BP44 AD27 AF11:AH11 S43:U43 Z43 Y32 W48:X48 AD26 W102:Y102 W47:X47 Z45 Z44:AA44 Z40 W16 W13 W14 AJ10:AK10 AF12:AH12 AG13 AD32:AR32 BQ61 CI15:DC15 CD12 CD14 CI13:DC13 AT47 W15 AD34:AR34 AD33:AR33 AD36:AR36 AD35:AR35 Z39 AD38:AR38 AD37:AR37 Y27 Y36 AI7 AM15 AM18:AS18 AM16 AM17:AS17 AJ12:AK12 AM14 AP53:AT53 AT50 AT51 AT49 AT52 AT54 AT56 AQ52:AR52 AS57:AT57 AR77 AR76 AR78 AR80 AR75 AP87 AO118 Z47 Z52 CE41 CE43 CE44 CE42 CE29 CE30 CD22:CG22 CD21:CK21 CM9 CO8 CO7 CJ6 CO5 CO4 CD6:CE6 CD5:CE5 CD4:CE4 DH5:DK5 DH4:DK4 DH3:DK3 DH9:DK9 DH11:DK11 DH12:DK12 DH10:DK10 DH17:DK17 DH15:DK15 DH14:DK14 DH13:DK13 DH16:DK16 DH42:DK42 DH41:DK41 DH40:DK40 DH43:DK43 DH44:DK44 DH32:DK32 DH31:DK31 DH30:DK30 DH29:DK29 DH28:DK28 DH57:DK57 DH56:DK56 DH55:DK55 DH64:DK64 DH65:DK65 DH73:DK73 DH72:DK72 DH71:DK71 DH70:DK70 DH69:DK69 DH68:DK68 DH67:DK67 DH66:DK66 DH88:DK88 DH91:DK91 DH92:DK92 DH89:DK90 DH94:DK94 DH99:DK99 DH98:DK98 DH101:DK101 DH100:DK100 DH97:DK97 DH96:DK96 DH95:DK95 DH93:DK93 DH54:DK54 DH36:DK36 DH35:DK35 DH33:DK33 DH38:DK38 DH34:DK34 DH37:DK37 CI11:DC11 CI10:DC10 DH39:DK39 DH58:DK58 DH59:DK59 DH60:DK60 DH63:DK63 DH62:DK62 DH61:DK61 DH47:DK47 DH46:DK46 DH45:DK45 DH48:DK48 DH49:DK49 DH50:DK50 DH51:DK51 DH52:DK52 DH53:DK53 DH87:DK87 DH86:DK86 DH85:DK85 DH84:DK84 DH83:DK83 DH82:DK82 DH81:DK81 DH80:DK80 DH79:DK79 DH78:DK78 DH77:DK77 DH76:DK76 DH75:DK75 DH74:DK74 DH7:DK7 DH8:DK8 DH6:DK6 DH19:DK19 DH18:DK18 DH27:DK27 DH26:DK26 DH25:DK25 DH24:DK24 DH20:DK20 DH21:DK21 DH23:DK23 DH22:DK22 AB48 Z49 Z51 Z50 DM3:DN3 DM5:DN5 DM4:DN4 DM9:DN9 DM11:DN11 DM12:DN12 DM10:DN10 DM17:DN17 DM15:DN15 DM14:DN14 DM13:DN13 DM16:DN16 DM42:DN42 DM41:DN41 DM40:DN40 DM43:DN43 DM44:DN44 DM32:DN32 DM31:DN31 DM30:DN30 DM29:DN29 DM28:DN28 DM57:DN57 DM56:DN56 DM55:DN55 DM64:DN64 DM65:DN65 DM73:DN73 DM72:DN72 DM71:DN71 DM70:DN70 DM69:DN69 DM68:DN68 DM67:DN67 DM66:DN66 DM88:DN88 DM91:DN91 DM92:DN92 DM89:DN90 DM94:DN94 DM99:DN99 DM98:DN98 DM101:DN101 DM100:DN100 DM97:DN97 DM96:DN96 DM95:DN95 DM93:DN93 DM54:DN54 DM36:DN36 DM35:DN35 DM33:DN33 DM38:DN38 DM34:DN34 DM37:DN37 DM39:DN39 DM58:DN58 DM59:DN59 DM60:DN60 DM63:DN63 DM62:DN62 DM61:DN61 DM47:DN47 DM46:DN46 DM45:DN45 DM48:DN48 DM49:DN49 DM50:DN50 DM51:DN51 DM52:DN52 DM53:DN53 DM87:DN87 DM86:DN86 DM85:DN85 DM84:DN84 DM83:DN83 DM82:DN82 DM81:DN81 DM80:DN80 DM79:DN79 DM78:DN78 DM77:DN77 DM76:DN76 DM75:DN75 DM74:DN74 DM7:DN7 DM8:DN8 DM6:DN6 DM19:DN19 DM18:DN18 DM27:DN27 DM26:DN26 DM25:DN25 DM24:DN24 DM20:DN20 DM21:DN21 DM23:DN23 DM22:DN22 BK70 AN119 AJ11:AK11 AM12:AS12 Z41 AD41:AR41 AD40:AR40 AD39:AR39 DE5 DE6 DE7 DE8 DE9 DE4 AR81 Z42:AA42 AD42:AR42 AD43:AR43 AD44:AR44 AD45:AR45 AB47 AB50 AB51 AP57:AQ57 CO6 CV6 CV7 CV8 CV4 CV5:CW5 DB6 CV9 CZ4 CZ5 CY6:CZ6 CZ7 CZ8 CZ9 CI14:DC14 CI12:DC12 CO9 DB4 DB5 DB7 DB8 DB9 BO12 BO14 CR4 CR5 CR6 CR7 CR8 CR9 CT4:CU4 CT5:CU5 CT6:CU6 CT7:CU7 CT8:CU8 CT9:CU9 BO23 AU382:AV411 AL335:AV381 S335:U381 S412:U420 CA335:CB420 DG335:DP420 DE335:DE420 S382:U411 CO335:DD420 DF335:DF420 CC335:CN420 BW335:BZ420 V412:BV420 V335:AK381 V382:AT411 AW382:BV411 AW335:BV381 DP8 DP7" evalError="1"/>
  </ignoredError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90B6-9917-4A9D-B841-982D3FB925FB}">
  <dimension ref="B1:AC35"/>
  <sheetViews>
    <sheetView zoomScale="90" zoomScaleNormal="90" workbookViewId="0">
      <selection sqref="A1:IV65536"/>
    </sheetView>
  </sheetViews>
  <sheetFormatPr baseColWidth="10" defaultRowHeight="15.05"/>
  <cols>
    <col min="1" max="1" width="10.5546875" style="227" customWidth="1"/>
    <col min="2" max="2" width="20.6640625" style="227" customWidth="1"/>
    <col min="3" max="3" width="10.6640625" style="227" customWidth="1"/>
    <col min="4" max="4" width="102.88671875" style="227" customWidth="1"/>
    <col min="5" max="5" width="14.6640625" style="227" customWidth="1"/>
    <col min="6" max="17" width="11.5546875" style="227" customWidth="1"/>
    <col min="18" max="16384" width="11.5546875" style="227"/>
  </cols>
  <sheetData>
    <row r="1" spans="2:29" ht="18.350000000000001">
      <c r="AA1" s="228"/>
      <c r="AB1" s="228"/>
      <c r="AC1" s="228"/>
    </row>
    <row r="2" spans="2:29" ht="34.549999999999997" customHeight="1">
      <c r="B2" s="240" t="s">
        <v>424</v>
      </c>
      <c r="C2" s="240"/>
      <c r="D2" s="240"/>
      <c r="E2" s="241"/>
      <c r="AA2" s="228"/>
      <c r="AB2" s="228"/>
      <c r="AC2" s="228"/>
    </row>
    <row r="3" spans="2:29" ht="18.350000000000001">
      <c r="B3" s="226" t="s">
        <v>412</v>
      </c>
      <c r="C3" s="226" t="s">
        <v>417</v>
      </c>
      <c r="D3" s="226" t="s">
        <v>418</v>
      </c>
      <c r="E3" s="226" t="s">
        <v>420</v>
      </c>
      <c r="G3" s="242" t="s">
        <v>410</v>
      </c>
      <c r="H3" s="242"/>
      <c r="AA3" s="228"/>
      <c r="AB3" s="228"/>
      <c r="AC3" s="228"/>
    </row>
    <row r="4" spans="2:29" ht="15.05" customHeight="1">
      <c r="B4" s="231" t="s">
        <v>409</v>
      </c>
      <c r="C4" s="236">
        <f>VLOOKUP(B4,$G$4:$H$5,2,0)</f>
        <v>1</v>
      </c>
      <c r="D4" s="243" t="s">
        <v>994</v>
      </c>
      <c r="E4" s="236" t="s">
        <v>421</v>
      </c>
      <c r="G4" s="226" t="s">
        <v>409</v>
      </c>
      <c r="H4" s="226">
        <v>1</v>
      </c>
      <c r="AA4" s="228"/>
      <c r="AB4" s="228"/>
      <c r="AC4" s="228"/>
    </row>
    <row r="5" spans="2:29" ht="15.05" customHeight="1">
      <c r="B5" s="231"/>
      <c r="C5" s="236"/>
      <c r="D5" s="243"/>
      <c r="E5" s="231"/>
      <c r="G5" s="226" t="s">
        <v>411</v>
      </c>
      <c r="H5" s="226">
        <v>0</v>
      </c>
      <c r="AA5" s="230"/>
      <c r="AB5" s="230"/>
      <c r="AC5" s="230"/>
    </row>
    <row r="6" spans="2:29" ht="15.05" customHeight="1">
      <c r="B6" s="231" t="s">
        <v>409</v>
      </c>
      <c r="C6" s="236">
        <f>VLOOKUP(B6,$G$4:$H$5,2,0)</f>
        <v>1</v>
      </c>
      <c r="D6" s="243" t="s">
        <v>995</v>
      </c>
      <c r="E6" s="231">
        <v>20</v>
      </c>
      <c r="G6" s="226"/>
      <c r="H6" s="226"/>
      <c r="AA6" s="230"/>
      <c r="AB6" s="230"/>
      <c r="AC6" s="230"/>
    </row>
    <row r="7" spans="2:29" ht="15.05" customHeight="1">
      <c r="B7" s="231"/>
      <c r="C7" s="236"/>
      <c r="D7" s="243"/>
      <c r="E7" s="231"/>
      <c r="AA7" s="230"/>
      <c r="AB7" s="230" t="s">
        <v>224</v>
      </c>
      <c r="AC7" s="230"/>
    </row>
    <row r="8" spans="2:29" ht="15.05" customHeight="1">
      <c r="B8" s="231" t="s">
        <v>409</v>
      </c>
      <c r="C8" s="236">
        <f>VLOOKUP(B8,$G$4:$H$5,2,0)</f>
        <v>1</v>
      </c>
      <c r="D8" s="243" t="s">
        <v>996</v>
      </c>
      <c r="E8" s="231"/>
      <c r="AA8" s="230"/>
      <c r="AB8" s="230"/>
      <c r="AC8" s="230"/>
    </row>
    <row r="9" spans="2:29" ht="15.05" customHeight="1">
      <c r="B9" s="231"/>
      <c r="C9" s="236"/>
      <c r="D9" s="243"/>
      <c r="E9" s="231"/>
      <c r="G9" s="242" t="s">
        <v>859</v>
      </c>
      <c r="H9" s="242"/>
      <c r="AA9" s="230"/>
      <c r="AB9" s="230" t="s">
        <v>225</v>
      </c>
      <c r="AC9" s="230"/>
    </row>
    <row r="10" spans="2:29" ht="15.05" customHeight="1">
      <c r="B10" s="231" t="s">
        <v>409</v>
      </c>
      <c r="C10" s="236">
        <f>VLOOKUP(B10,$G$4:$H$5,2,0)</f>
        <v>1</v>
      </c>
      <c r="D10" s="243" t="s">
        <v>997</v>
      </c>
      <c r="E10" s="231">
        <v>28</v>
      </c>
      <c r="G10" s="242"/>
      <c r="H10" s="242"/>
      <c r="AA10" s="230"/>
      <c r="AB10" s="230"/>
      <c r="AC10" s="230"/>
    </row>
    <row r="11" spans="2:29" ht="15.05" customHeight="1">
      <c r="B11" s="231"/>
      <c r="C11" s="236"/>
      <c r="D11" s="243"/>
      <c r="E11" s="231"/>
      <c r="G11" s="231" t="s">
        <v>856</v>
      </c>
      <c r="H11" s="231"/>
      <c r="AA11" s="230"/>
      <c r="AB11" s="230" t="s">
        <v>226</v>
      </c>
      <c r="AC11" s="230"/>
    </row>
    <row r="12" spans="2:29" ht="15.05" customHeight="1">
      <c r="B12" s="231" t="s">
        <v>411</v>
      </c>
      <c r="C12" s="236">
        <f>VLOOKUP(B12,$G$4:$H$5,2,0)</f>
        <v>0</v>
      </c>
      <c r="D12" s="243" t="s">
        <v>419</v>
      </c>
      <c r="E12" s="231"/>
      <c r="G12" s="231"/>
      <c r="H12" s="231"/>
      <c r="AA12" s="230"/>
      <c r="AB12" s="230" t="s">
        <v>227</v>
      </c>
      <c r="AC12" s="230"/>
    </row>
    <row r="13" spans="2:29" ht="15.05" customHeight="1">
      <c r="B13" s="231"/>
      <c r="C13" s="236"/>
      <c r="D13" s="243"/>
      <c r="E13" s="231"/>
      <c r="AA13" s="230"/>
      <c r="AB13" s="230" t="s">
        <v>228</v>
      </c>
      <c r="AC13" s="230"/>
    </row>
    <row r="14" spans="2:29" ht="15.05" customHeight="1">
      <c r="B14" s="231" t="s">
        <v>409</v>
      </c>
      <c r="C14" s="236">
        <f>VLOOKUP(B14,$G$4:$H$5,2,0)</f>
        <v>1</v>
      </c>
      <c r="D14" s="243" t="s">
        <v>423</v>
      </c>
      <c r="E14" s="231"/>
      <c r="AA14" s="230"/>
      <c r="AB14" s="230"/>
      <c r="AC14" s="230"/>
    </row>
    <row r="15" spans="2:29" ht="15.05" customHeight="1">
      <c r="B15" s="231"/>
      <c r="C15" s="236"/>
      <c r="D15" s="243"/>
      <c r="E15" s="231"/>
      <c r="G15" s="242" t="s">
        <v>910</v>
      </c>
      <c r="H15" s="242"/>
      <c r="AA15" s="230"/>
      <c r="AB15" s="230" t="s">
        <v>229</v>
      </c>
      <c r="AC15" s="230"/>
    </row>
    <row r="16" spans="2:29" ht="15.05" customHeight="1">
      <c r="B16" s="231" t="s">
        <v>409</v>
      </c>
      <c r="C16" s="236">
        <f>VLOOKUP(B16,$G$4:$H$5,2,0)</f>
        <v>1</v>
      </c>
      <c r="D16" s="243" t="s">
        <v>575</v>
      </c>
      <c r="E16" s="231">
        <v>1</v>
      </c>
      <c r="G16" s="242"/>
      <c r="H16" s="242"/>
      <c r="AA16" s="230"/>
      <c r="AB16" s="230"/>
      <c r="AC16" s="230"/>
    </row>
    <row r="17" spans="2:29" ht="15.05" customHeight="1">
      <c r="B17" s="231"/>
      <c r="C17" s="236"/>
      <c r="D17" s="243"/>
      <c r="E17" s="231"/>
      <c r="G17" s="231">
        <v>140</v>
      </c>
      <c r="H17" s="231"/>
      <c r="AA17" s="230"/>
      <c r="AB17" s="230"/>
      <c r="AC17" s="230"/>
    </row>
    <row r="18" spans="2:29" ht="15.05" customHeight="1">
      <c r="B18" s="231" t="s">
        <v>409</v>
      </c>
      <c r="C18" s="236">
        <f>VLOOKUP(B18,$G$4:$H$5,2,0)</f>
        <v>1</v>
      </c>
      <c r="D18" s="243" t="s">
        <v>998</v>
      </c>
      <c r="E18" s="231">
        <v>20</v>
      </c>
      <c r="G18" s="231"/>
      <c r="H18" s="231"/>
      <c r="AA18" s="233"/>
      <c r="AB18" s="233"/>
      <c r="AC18" s="233"/>
    </row>
    <row r="19" spans="2:29" ht="15.05" customHeight="1">
      <c r="B19" s="231"/>
      <c r="C19" s="236"/>
      <c r="D19" s="243"/>
      <c r="E19" s="231"/>
      <c r="AA19" s="233"/>
      <c r="AB19" s="233"/>
      <c r="AC19" s="233"/>
    </row>
    <row r="20" spans="2:29" ht="15.05" customHeight="1">
      <c r="B20" s="231" t="s">
        <v>409</v>
      </c>
      <c r="C20" s="236">
        <f>VLOOKUP(B20,$G$4:$H$5,2,0)</f>
        <v>1</v>
      </c>
      <c r="D20" s="243" t="s">
        <v>999</v>
      </c>
      <c r="E20" s="231">
        <v>12</v>
      </c>
      <c r="AA20" s="233"/>
      <c r="AB20" s="233"/>
      <c r="AC20" s="233"/>
    </row>
    <row r="21" spans="2:29" ht="15.05" customHeight="1">
      <c r="B21" s="231"/>
      <c r="C21" s="236"/>
      <c r="D21" s="243"/>
      <c r="E21" s="231"/>
      <c r="AA21" s="233"/>
      <c r="AB21" s="233"/>
      <c r="AC21" s="233"/>
    </row>
    <row r="22" spans="2:29" ht="15.05" customHeight="1">
      <c r="B22" s="231" t="s">
        <v>409</v>
      </c>
      <c r="C22" s="236">
        <f>VLOOKUP(B22,$G$4:$H$5,2,0)</f>
        <v>1</v>
      </c>
      <c r="D22" s="243" t="s">
        <v>1000</v>
      </c>
      <c r="E22" s="231">
        <v>200</v>
      </c>
      <c r="G22" s="242" t="s">
        <v>956</v>
      </c>
      <c r="H22" s="242"/>
      <c r="AA22" s="233"/>
      <c r="AB22" s="233"/>
      <c r="AC22" s="233"/>
    </row>
    <row r="23" spans="2:29" ht="15.05" customHeight="1">
      <c r="B23" s="231"/>
      <c r="C23" s="236"/>
      <c r="D23" s="243"/>
      <c r="E23" s="231"/>
      <c r="G23" s="242"/>
      <c r="H23" s="242"/>
      <c r="AA23" s="233"/>
      <c r="AB23" s="233"/>
      <c r="AC23" s="233"/>
    </row>
    <row r="24" spans="2:29" ht="19" customHeight="1">
      <c r="B24" s="240" t="s">
        <v>422</v>
      </c>
      <c r="C24" s="240"/>
      <c r="D24" s="240"/>
      <c r="E24" s="240"/>
      <c r="G24" s="231">
        <v>5</v>
      </c>
      <c r="H24" s="231"/>
      <c r="AA24" s="233"/>
      <c r="AB24" s="233"/>
      <c r="AC24" s="233"/>
    </row>
    <row r="25" spans="2:29" ht="19" customHeight="1">
      <c r="B25" s="240"/>
      <c r="C25" s="240"/>
      <c r="D25" s="240"/>
      <c r="E25" s="240"/>
      <c r="G25" s="231"/>
      <c r="H25" s="231"/>
      <c r="AA25" s="233"/>
      <c r="AB25" s="233"/>
      <c r="AC25" s="233"/>
    </row>
    <row r="26" spans="2:29" ht="19" customHeight="1">
      <c r="AA26" s="233"/>
      <c r="AB26" s="233"/>
      <c r="AC26" s="233"/>
    </row>
    <row r="27" spans="2:29" ht="18.350000000000001">
      <c r="AA27" s="233"/>
      <c r="AB27" s="233"/>
      <c r="AC27" s="233"/>
    </row>
    <row r="28" spans="2:29" ht="18.350000000000001">
      <c r="AA28" s="233"/>
      <c r="AB28" s="233"/>
      <c r="AC28" s="233"/>
    </row>
    <row r="29" spans="2:29" ht="18.350000000000001">
      <c r="AA29" s="233"/>
      <c r="AB29" s="233"/>
      <c r="AC29" s="233"/>
    </row>
    <row r="30" spans="2:29" ht="18.350000000000001">
      <c r="AA30" s="233"/>
      <c r="AB30" s="233"/>
      <c r="AC30" s="233"/>
    </row>
    <row r="31" spans="2:29" ht="18.350000000000001">
      <c r="AA31" s="233"/>
      <c r="AB31" s="233"/>
      <c r="AC31" s="233"/>
    </row>
    <row r="32" spans="2:29" ht="18.350000000000001">
      <c r="AA32" s="233"/>
      <c r="AB32" s="233"/>
      <c r="AC32" s="233"/>
    </row>
    <row r="33" spans="27:29" ht="18.350000000000001">
      <c r="AA33" s="233"/>
      <c r="AB33" s="233"/>
      <c r="AC33" s="233"/>
    </row>
    <row r="34" spans="27:29" ht="18.350000000000001">
      <c r="AA34" s="233"/>
      <c r="AB34" s="233"/>
      <c r="AC34" s="233"/>
    </row>
    <row r="35" spans="27:29" ht="18.350000000000001">
      <c r="AA35" s="233"/>
      <c r="AB35" s="233"/>
      <c r="AC35" s="233"/>
    </row>
  </sheetData>
  <sheetProtection algorithmName="SHA-512" hashValue="dbKijjl/N6rxJ4jaYZNOvYYBEJKOIrF/V4qBdlztJjBgyABywIwyqRYbc/U1dSvcx/rKm0zWKQwu1nUnNO0wUg==" saltValue="9FW4uwM0QaAydgTaVxQ4lQ==" spinCount="100000" sheet="1" objects="1" scenarios="1" selectLockedCells="1" selectUnlockedCells="1"/>
  <mergeCells count="49">
    <mergeCell ref="D22:D23"/>
    <mergeCell ref="E22:E23"/>
    <mergeCell ref="E12:E13"/>
    <mergeCell ref="D8:D9"/>
    <mergeCell ref="C10:C11"/>
    <mergeCell ref="B12:B13"/>
    <mergeCell ref="D10:D11"/>
    <mergeCell ref="C20:C21"/>
    <mergeCell ref="C22:C23"/>
    <mergeCell ref="G15:H16"/>
    <mergeCell ref="D16:D17"/>
    <mergeCell ref="B8:B9"/>
    <mergeCell ref="B10:B11"/>
    <mergeCell ref="C12:C13"/>
    <mergeCell ref="D12:D13"/>
    <mergeCell ref="C8:C9"/>
    <mergeCell ref="D14:D15"/>
    <mergeCell ref="G17:H18"/>
    <mergeCell ref="E18:E19"/>
    <mergeCell ref="B2:E2"/>
    <mergeCell ref="E4:E5"/>
    <mergeCell ref="E6:E7"/>
    <mergeCell ref="E8:E9"/>
    <mergeCell ref="E10:E11"/>
    <mergeCell ref="G22:H23"/>
    <mergeCell ref="C16:C17"/>
    <mergeCell ref="C18:C19"/>
    <mergeCell ref="B14:B15"/>
    <mergeCell ref="C14:C15"/>
    <mergeCell ref="B24:E25"/>
    <mergeCell ref="E14:E15"/>
    <mergeCell ref="B16:B17"/>
    <mergeCell ref="B18:B19"/>
    <mergeCell ref="B20:B21"/>
    <mergeCell ref="B22:B23"/>
    <mergeCell ref="E16:E17"/>
    <mergeCell ref="E20:E21"/>
    <mergeCell ref="D18:D19"/>
    <mergeCell ref="D20:D21"/>
    <mergeCell ref="G24:H25"/>
    <mergeCell ref="G9:H10"/>
    <mergeCell ref="G3:H3"/>
    <mergeCell ref="B4:B5"/>
    <mergeCell ref="D4:D5"/>
    <mergeCell ref="C4:C5"/>
    <mergeCell ref="B6:B7"/>
    <mergeCell ref="C6:C7"/>
    <mergeCell ref="D6:D7"/>
    <mergeCell ref="G11:H12"/>
  </mergeCells>
  <dataValidations count="1">
    <dataValidation allowBlank="1" sqref="B4:E23" xr:uid="{E75EB6AD-32B2-4CE0-87FB-E694E7E39C7A}"/>
  </dataValidation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16AAE-6A2C-406C-827A-0C871719545E}">
  <dimension ref="A1:AC39"/>
  <sheetViews>
    <sheetView workbookViewId="0">
      <selection sqref="A1:IV65536"/>
    </sheetView>
  </sheetViews>
  <sheetFormatPr baseColWidth="10" defaultRowHeight="15.05"/>
  <cols>
    <col min="1" max="1" width="33.44140625" style="227" customWidth="1"/>
    <col min="2" max="2" width="15.44140625" style="227" customWidth="1"/>
    <col min="3" max="9" width="11.5546875" style="227" customWidth="1"/>
    <col min="10" max="11" width="16.77734375" style="227" customWidth="1"/>
    <col min="12" max="12" width="22.77734375" style="227" customWidth="1"/>
    <col min="13" max="13" width="11.5546875" style="227"/>
    <col min="14" max="14" width="40.6640625" style="227" customWidth="1"/>
    <col min="15" max="15" width="21.44140625" style="227" bestFit="1" customWidth="1"/>
    <col min="16" max="16" width="22.21875" style="227" bestFit="1" customWidth="1"/>
    <col min="17" max="17" width="21.88671875" style="227" customWidth="1"/>
    <col min="18" max="16384" width="11.5546875" style="227"/>
  </cols>
  <sheetData>
    <row r="1" spans="1:29" ht="18.350000000000001">
      <c r="A1" s="226" t="s">
        <v>10</v>
      </c>
      <c r="B1" s="226" t="s">
        <v>432</v>
      </c>
      <c r="C1" s="226" t="s">
        <v>15</v>
      </c>
      <c r="D1" s="226" t="s">
        <v>16</v>
      </c>
      <c r="E1" s="226" t="s">
        <v>17</v>
      </c>
      <c r="F1" s="226" t="s">
        <v>18</v>
      </c>
      <c r="G1" s="226" t="s">
        <v>19</v>
      </c>
      <c r="H1" s="226" t="s">
        <v>20</v>
      </c>
      <c r="I1" s="226" t="s">
        <v>21</v>
      </c>
      <c r="J1" s="226" t="s">
        <v>710</v>
      </c>
      <c r="K1" s="226" t="s">
        <v>711</v>
      </c>
      <c r="L1" s="226" t="s">
        <v>433</v>
      </c>
      <c r="M1" s="226" t="s">
        <v>135</v>
      </c>
      <c r="N1" s="226" t="s">
        <v>240</v>
      </c>
      <c r="O1" s="226" t="s">
        <v>844</v>
      </c>
      <c r="P1" s="226" t="s">
        <v>845</v>
      </c>
      <c r="Q1" s="226" t="s">
        <v>846</v>
      </c>
      <c r="AA1" s="228"/>
      <c r="AB1" s="228"/>
      <c r="AC1" s="228"/>
    </row>
    <row r="2" spans="1:29" ht="15.05" customHeight="1">
      <c r="A2" s="226" t="s">
        <v>386</v>
      </c>
      <c r="B2" s="226" t="s">
        <v>24</v>
      </c>
      <c r="C2" s="226">
        <v>21</v>
      </c>
      <c r="D2" s="226">
        <v>3</v>
      </c>
      <c r="E2" s="226">
        <v>24.5</v>
      </c>
      <c r="F2" s="226">
        <v>46</v>
      </c>
      <c r="G2" s="226">
        <v>0.5</v>
      </c>
      <c r="H2" s="226">
        <v>15500</v>
      </c>
      <c r="I2" s="226">
        <v>7600</v>
      </c>
      <c r="J2" s="226">
        <v>2</v>
      </c>
      <c r="K2" s="226">
        <v>2</v>
      </c>
      <c r="L2" s="226">
        <v>2</v>
      </c>
      <c r="M2" s="226">
        <v>5</v>
      </c>
      <c r="N2" s="229" t="s">
        <v>242</v>
      </c>
      <c r="O2" s="226" t="s">
        <v>847</v>
      </c>
      <c r="P2" s="226" t="s">
        <v>848</v>
      </c>
      <c r="Q2" s="226">
        <v>1</v>
      </c>
      <c r="AA2" s="228"/>
      <c r="AB2" s="228"/>
      <c r="AC2" s="228"/>
    </row>
    <row r="3" spans="1:29" ht="15.05" customHeight="1">
      <c r="A3" s="226" t="s">
        <v>434</v>
      </c>
      <c r="B3" s="226" t="s">
        <v>24</v>
      </c>
      <c r="C3" s="226">
        <v>21</v>
      </c>
      <c r="D3" s="226">
        <v>3</v>
      </c>
      <c r="E3" s="226">
        <v>24.5</v>
      </c>
      <c r="F3" s="226">
        <v>46</v>
      </c>
      <c r="G3" s="226">
        <v>0.5</v>
      </c>
      <c r="H3" s="226">
        <v>15500</v>
      </c>
      <c r="I3" s="226">
        <v>7600</v>
      </c>
      <c r="J3" s="226">
        <v>8</v>
      </c>
      <c r="K3" s="226">
        <v>8</v>
      </c>
      <c r="L3" s="226">
        <v>8</v>
      </c>
      <c r="M3" s="226">
        <v>5</v>
      </c>
      <c r="N3" s="229" t="s">
        <v>242</v>
      </c>
      <c r="O3" s="226" t="s">
        <v>847</v>
      </c>
      <c r="P3" s="226" t="s">
        <v>848</v>
      </c>
      <c r="Q3" s="226">
        <v>1</v>
      </c>
      <c r="AA3" s="228"/>
      <c r="AB3" s="228"/>
      <c r="AC3" s="228"/>
    </row>
    <row r="4" spans="1:29" ht="15.05" customHeight="1">
      <c r="A4" s="226" t="s">
        <v>837</v>
      </c>
      <c r="B4" s="226" t="s">
        <v>24</v>
      </c>
      <c r="C4" s="226">
        <v>14.6</v>
      </c>
      <c r="D4" s="226">
        <v>1.6</v>
      </c>
      <c r="E4" s="226">
        <v>21.400000000000013</v>
      </c>
      <c r="F4" s="226">
        <v>44.5</v>
      </c>
      <c r="G4" s="226">
        <v>14.64</v>
      </c>
      <c r="H4" s="226">
        <v>16000</v>
      </c>
      <c r="I4" s="226">
        <v>8000</v>
      </c>
      <c r="J4" s="226">
        <v>3.24</v>
      </c>
      <c r="K4" s="226">
        <v>3.24</v>
      </c>
      <c r="L4" s="226">
        <v>3.24</v>
      </c>
      <c r="M4" s="226">
        <v>3.3</v>
      </c>
      <c r="N4" s="229" t="s">
        <v>221</v>
      </c>
      <c r="O4" s="226" t="s">
        <v>847</v>
      </c>
      <c r="P4" s="226" t="s">
        <v>848</v>
      </c>
      <c r="Q4" s="226">
        <v>1</v>
      </c>
      <c r="AA4" s="228"/>
      <c r="AB4" s="228"/>
      <c r="AC4" s="228"/>
    </row>
    <row r="5" spans="1:29" ht="15.05" customHeight="1">
      <c r="A5" s="226" t="s">
        <v>838</v>
      </c>
      <c r="B5" s="226" t="s">
        <v>25</v>
      </c>
      <c r="C5" s="226">
        <v>4</v>
      </c>
      <c r="D5" s="226">
        <v>0.9</v>
      </c>
      <c r="E5" s="226">
        <v>53.3</v>
      </c>
      <c r="F5" s="226">
        <v>36.15</v>
      </c>
      <c r="G5" s="226">
        <v>0.4</v>
      </c>
      <c r="H5" s="226">
        <v>11000</v>
      </c>
      <c r="I5" s="226">
        <v>5500</v>
      </c>
      <c r="J5" s="226">
        <v>2.5</v>
      </c>
      <c r="K5" s="226">
        <v>2.5</v>
      </c>
      <c r="L5" s="226">
        <v>5</v>
      </c>
      <c r="M5" s="226">
        <v>5.25</v>
      </c>
      <c r="N5" s="229" t="s">
        <v>221</v>
      </c>
      <c r="O5" s="226" t="s">
        <v>849</v>
      </c>
      <c r="P5" s="226" t="s">
        <v>850</v>
      </c>
      <c r="Q5" s="226">
        <v>2</v>
      </c>
      <c r="AA5" s="230"/>
      <c r="AB5" s="230"/>
      <c r="AC5" s="230"/>
    </row>
    <row r="6" spans="1:29" ht="15.05" customHeight="1">
      <c r="A6" s="226" t="s">
        <v>748</v>
      </c>
      <c r="B6" s="226" t="s">
        <v>25</v>
      </c>
      <c r="C6" s="226">
        <v>6.89</v>
      </c>
      <c r="D6" s="226">
        <v>0.59</v>
      </c>
      <c r="E6" s="226">
        <v>2.8599999999999994</v>
      </c>
      <c r="F6" s="226">
        <v>84.66</v>
      </c>
      <c r="G6" s="226">
        <v>0</v>
      </c>
      <c r="H6" s="226">
        <v>19300</v>
      </c>
      <c r="I6" s="226">
        <v>3000</v>
      </c>
      <c r="J6" s="226">
        <v>1</v>
      </c>
      <c r="K6" s="226">
        <v>0.5</v>
      </c>
      <c r="L6" s="226">
        <v>1</v>
      </c>
      <c r="M6" s="226">
        <v>5</v>
      </c>
      <c r="N6" s="229" t="s">
        <v>900</v>
      </c>
      <c r="O6" s="226" t="s">
        <v>901</v>
      </c>
      <c r="P6" s="226" t="s">
        <v>902</v>
      </c>
      <c r="Q6" s="226">
        <v>2</v>
      </c>
      <c r="AA6" s="230"/>
      <c r="AB6" s="230"/>
      <c r="AC6" s="230"/>
    </row>
    <row r="7" spans="1:29" ht="15.05" customHeight="1">
      <c r="A7" s="226" t="s">
        <v>749</v>
      </c>
      <c r="B7" s="226" t="s">
        <v>25</v>
      </c>
      <c r="C7" s="226">
        <v>9</v>
      </c>
      <c r="D7" s="226">
        <v>0.7</v>
      </c>
      <c r="E7" s="226">
        <v>10.299999999999997</v>
      </c>
      <c r="F7" s="226">
        <v>75</v>
      </c>
      <c r="G7" s="226">
        <v>0</v>
      </c>
      <c r="H7" s="226">
        <v>23500</v>
      </c>
      <c r="I7" s="226">
        <v>0</v>
      </c>
      <c r="J7" s="226">
        <v>1</v>
      </c>
      <c r="K7" s="226">
        <v>0.5</v>
      </c>
      <c r="L7" s="226">
        <v>1</v>
      </c>
      <c r="M7" s="226">
        <v>5</v>
      </c>
      <c r="N7" s="229" t="s">
        <v>243</v>
      </c>
      <c r="O7" s="226" t="s">
        <v>901</v>
      </c>
      <c r="P7" s="226" t="s">
        <v>902</v>
      </c>
      <c r="Q7" s="226">
        <v>2</v>
      </c>
      <c r="AA7" s="230"/>
      <c r="AB7" s="230" t="s">
        <v>224</v>
      </c>
      <c r="AC7" s="230"/>
    </row>
    <row r="8" spans="1:29" ht="15.05" customHeight="1">
      <c r="A8" s="226" t="s">
        <v>841</v>
      </c>
      <c r="B8" s="226" t="s">
        <v>25</v>
      </c>
      <c r="C8" s="226">
        <v>0.42</v>
      </c>
      <c r="D8" s="226">
        <v>0.12</v>
      </c>
      <c r="E8" s="226">
        <v>38.459999999999994</v>
      </c>
      <c r="F8" s="226">
        <v>56</v>
      </c>
      <c r="G8" s="226">
        <v>0</v>
      </c>
      <c r="H8" s="226">
        <v>20000</v>
      </c>
      <c r="I8" s="226">
        <v>10000</v>
      </c>
      <c r="J8" s="226">
        <v>1</v>
      </c>
      <c r="K8" s="226">
        <v>1</v>
      </c>
      <c r="L8" s="226">
        <v>1</v>
      </c>
      <c r="M8" s="226">
        <v>5</v>
      </c>
      <c r="N8" s="229" t="s">
        <v>842</v>
      </c>
      <c r="O8" s="226" t="s">
        <v>843</v>
      </c>
      <c r="P8" s="226" t="s">
        <v>843</v>
      </c>
      <c r="Q8" s="226">
        <v>3</v>
      </c>
      <c r="AA8" s="230"/>
      <c r="AB8" s="230"/>
      <c r="AC8" s="230"/>
    </row>
    <row r="9" spans="1:29" ht="15.05" customHeight="1">
      <c r="A9" s="226" t="s">
        <v>860</v>
      </c>
      <c r="B9" s="226" t="s">
        <v>25</v>
      </c>
      <c r="C9" s="226">
        <v>10</v>
      </c>
      <c r="D9" s="226">
        <v>2</v>
      </c>
      <c r="E9" s="226">
        <v>42.5</v>
      </c>
      <c r="F9" s="226">
        <v>40</v>
      </c>
      <c r="G9" s="226">
        <v>0.5</v>
      </c>
      <c r="H9" s="226">
        <v>15000</v>
      </c>
      <c r="I9" s="226">
        <v>5000</v>
      </c>
      <c r="J9" s="226">
        <v>2</v>
      </c>
      <c r="K9" s="226">
        <v>2</v>
      </c>
      <c r="L9" s="226">
        <v>10</v>
      </c>
      <c r="M9" s="226">
        <v>5</v>
      </c>
      <c r="N9" s="229" t="s">
        <v>861</v>
      </c>
      <c r="O9" s="226" t="s">
        <v>849</v>
      </c>
      <c r="P9" s="226" t="s">
        <v>850</v>
      </c>
      <c r="Q9" s="226">
        <v>2</v>
      </c>
      <c r="AA9" s="230"/>
      <c r="AB9" s="230" t="s">
        <v>225</v>
      </c>
      <c r="AC9" s="230"/>
    </row>
    <row r="10" spans="1:29" ht="15.05" customHeight="1">
      <c r="A10" s="226" t="s">
        <v>891</v>
      </c>
      <c r="B10" s="226" t="s">
        <v>25</v>
      </c>
      <c r="C10" s="226">
        <v>24</v>
      </c>
      <c r="D10" s="226">
        <v>2</v>
      </c>
      <c r="E10" s="226">
        <v>24.5</v>
      </c>
      <c r="F10" s="226">
        <v>46</v>
      </c>
      <c r="G10" s="226">
        <v>0.4</v>
      </c>
      <c r="H10" s="226">
        <v>15000</v>
      </c>
      <c r="I10" s="226">
        <v>5000</v>
      </c>
      <c r="J10" s="226">
        <v>4</v>
      </c>
      <c r="K10" s="226">
        <v>2</v>
      </c>
      <c r="L10" s="226">
        <v>8</v>
      </c>
      <c r="M10" s="226">
        <v>3</v>
      </c>
      <c r="N10" s="229" t="s">
        <v>871</v>
      </c>
      <c r="O10" s="226" t="s">
        <v>851</v>
      </c>
      <c r="P10" s="226" t="s">
        <v>852</v>
      </c>
      <c r="Q10" s="226">
        <v>4</v>
      </c>
      <c r="AA10" s="230"/>
      <c r="AB10" s="230"/>
      <c r="AC10" s="230"/>
    </row>
    <row r="11" spans="1:29" ht="15.05" customHeight="1">
      <c r="A11" s="226" t="s">
        <v>893</v>
      </c>
      <c r="B11" s="226" t="s">
        <v>25</v>
      </c>
      <c r="C11" s="226">
        <v>31</v>
      </c>
      <c r="D11" s="226">
        <v>3.5</v>
      </c>
      <c r="E11" s="226">
        <v>32</v>
      </c>
      <c r="F11" s="226">
        <v>30</v>
      </c>
      <c r="G11" s="226">
        <v>0.4</v>
      </c>
      <c r="H11" s="226">
        <v>10000</v>
      </c>
      <c r="I11" s="226">
        <v>950</v>
      </c>
      <c r="J11" s="226">
        <v>4</v>
      </c>
      <c r="K11" s="226">
        <v>2</v>
      </c>
      <c r="L11" s="226">
        <v>8</v>
      </c>
      <c r="M11" s="226">
        <v>3</v>
      </c>
      <c r="N11" s="229" t="s">
        <v>871</v>
      </c>
      <c r="O11" s="226" t="s">
        <v>851</v>
      </c>
      <c r="P11" s="226" t="s">
        <v>852</v>
      </c>
      <c r="Q11" s="226">
        <v>4</v>
      </c>
      <c r="AA11" s="230"/>
      <c r="AB11" s="230" t="s">
        <v>226</v>
      </c>
      <c r="AC11" s="230"/>
    </row>
    <row r="12" spans="1:29" ht="15.05" customHeight="1">
      <c r="A12" s="226" t="s">
        <v>894</v>
      </c>
      <c r="B12" s="226" t="s">
        <v>25</v>
      </c>
      <c r="C12" s="226">
        <v>31</v>
      </c>
      <c r="D12" s="226">
        <v>3.5</v>
      </c>
      <c r="E12" s="226">
        <v>31</v>
      </c>
      <c r="F12" s="226">
        <v>31</v>
      </c>
      <c r="G12" s="226">
        <v>0.4</v>
      </c>
      <c r="H12" s="226">
        <v>10000</v>
      </c>
      <c r="I12" s="226">
        <v>950</v>
      </c>
      <c r="J12" s="226">
        <v>4</v>
      </c>
      <c r="K12" s="226">
        <v>2</v>
      </c>
      <c r="L12" s="226">
        <v>8</v>
      </c>
      <c r="M12" s="226">
        <v>3</v>
      </c>
      <c r="N12" s="229" t="s">
        <v>882</v>
      </c>
      <c r="O12" s="226" t="s">
        <v>851</v>
      </c>
      <c r="P12" s="226" t="s">
        <v>852</v>
      </c>
      <c r="Q12" s="226">
        <v>4</v>
      </c>
      <c r="AA12" s="230"/>
      <c r="AB12" s="230" t="s">
        <v>227</v>
      </c>
      <c r="AC12" s="230"/>
    </row>
    <row r="13" spans="1:29" ht="15.05" customHeight="1">
      <c r="A13" s="226" t="s">
        <v>892</v>
      </c>
      <c r="B13" s="226" t="s">
        <v>25</v>
      </c>
      <c r="C13" s="226">
        <v>24</v>
      </c>
      <c r="D13" s="226">
        <v>2</v>
      </c>
      <c r="E13" s="226">
        <v>24.5</v>
      </c>
      <c r="F13" s="226">
        <v>46</v>
      </c>
      <c r="G13" s="226">
        <v>0.4</v>
      </c>
      <c r="H13" s="226">
        <v>15000</v>
      </c>
      <c r="I13" s="226">
        <v>5000</v>
      </c>
      <c r="J13" s="226">
        <v>2</v>
      </c>
      <c r="K13" s="226">
        <v>1</v>
      </c>
      <c r="L13" s="226">
        <v>4</v>
      </c>
      <c r="M13" s="226">
        <v>3</v>
      </c>
      <c r="N13" s="229" t="s">
        <v>871</v>
      </c>
      <c r="O13" s="226" t="s">
        <v>851</v>
      </c>
      <c r="P13" s="226" t="s">
        <v>852</v>
      </c>
      <c r="Q13" s="226">
        <v>4</v>
      </c>
      <c r="AA13" s="230"/>
      <c r="AB13" s="230"/>
      <c r="AC13" s="230" t="s">
        <v>228</v>
      </c>
    </row>
    <row r="14" spans="1:29" ht="15.05" customHeight="1">
      <c r="A14" s="226" t="s">
        <v>895</v>
      </c>
      <c r="B14" s="226" t="s">
        <v>25</v>
      </c>
      <c r="C14" s="226">
        <v>31</v>
      </c>
      <c r="D14" s="226">
        <v>3.5</v>
      </c>
      <c r="E14" s="226">
        <v>32</v>
      </c>
      <c r="F14" s="226">
        <v>30</v>
      </c>
      <c r="G14" s="226">
        <v>0.4</v>
      </c>
      <c r="H14" s="226">
        <v>10000</v>
      </c>
      <c r="I14" s="226">
        <v>950</v>
      </c>
      <c r="J14" s="226">
        <v>2</v>
      </c>
      <c r="K14" s="226">
        <v>1</v>
      </c>
      <c r="L14" s="226">
        <v>4</v>
      </c>
      <c r="M14" s="226">
        <v>3</v>
      </c>
      <c r="N14" s="229" t="s">
        <v>871</v>
      </c>
      <c r="O14" s="226" t="s">
        <v>851</v>
      </c>
      <c r="P14" s="226" t="s">
        <v>852</v>
      </c>
      <c r="Q14" s="226">
        <v>4</v>
      </c>
      <c r="AA14" s="230"/>
      <c r="AB14" s="230"/>
      <c r="AC14" s="230"/>
    </row>
    <row r="15" spans="1:29" ht="15.05" customHeight="1">
      <c r="A15" s="226" t="s">
        <v>896</v>
      </c>
      <c r="B15" s="226" t="s">
        <v>25</v>
      </c>
      <c r="C15" s="226">
        <v>31</v>
      </c>
      <c r="D15" s="226">
        <v>3.5</v>
      </c>
      <c r="E15" s="226">
        <v>31</v>
      </c>
      <c r="F15" s="226">
        <v>31</v>
      </c>
      <c r="G15" s="226">
        <v>0.4</v>
      </c>
      <c r="H15" s="226">
        <v>10000</v>
      </c>
      <c r="I15" s="226">
        <v>950</v>
      </c>
      <c r="J15" s="226">
        <v>2</v>
      </c>
      <c r="K15" s="226">
        <v>1</v>
      </c>
      <c r="L15" s="226">
        <v>4</v>
      </c>
      <c r="M15" s="226">
        <v>3</v>
      </c>
      <c r="N15" s="229" t="s">
        <v>882</v>
      </c>
      <c r="O15" s="226" t="s">
        <v>851</v>
      </c>
      <c r="P15" s="226" t="s">
        <v>852</v>
      </c>
      <c r="Q15" s="226">
        <v>4</v>
      </c>
      <c r="AA15" s="230"/>
      <c r="AB15" s="230" t="s">
        <v>229</v>
      </c>
      <c r="AC15" s="230"/>
    </row>
    <row r="16" spans="1:29" ht="15.05" customHeight="1">
      <c r="A16" s="226"/>
      <c r="B16" s="226"/>
      <c r="C16" s="226"/>
      <c r="D16" s="226"/>
      <c r="E16" s="226"/>
      <c r="F16" s="226"/>
      <c r="G16" s="226"/>
      <c r="H16" s="226"/>
      <c r="I16" s="226"/>
      <c r="J16" s="226"/>
      <c r="K16" s="226"/>
      <c r="L16" s="226"/>
      <c r="M16" s="226"/>
      <c r="N16" s="229"/>
      <c r="O16" s="226"/>
      <c r="P16" s="226"/>
      <c r="Q16" s="226"/>
      <c r="AA16" s="230"/>
      <c r="AB16" s="230"/>
      <c r="AC16" s="230"/>
    </row>
    <row r="17" spans="4:29" ht="15.05" customHeight="1">
      <c r="AA17" s="230"/>
      <c r="AB17" s="230"/>
      <c r="AC17" s="230"/>
    </row>
    <row r="18" spans="4:29" ht="15.05" customHeight="1">
      <c r="D18" s="239"/>
      <c r="E18" s="226" t="s">
        <v>971</v>
      </c>
      <c r="F18" s="239"/>
      <c r="AA18" s="233"/>
      <c r="AB18" s="233"/>
      <c r="AC18" s="233"/>
    </row>
    <row r="19" spans="4:29" ht="15.05" customHeight="1">
      <c r="AA19" s="233"/>
      <c r="AB19" s="233"/>
      <c r="AC19" s="233"/>
    </row>
    <row r="20" spans="4:29" ht="15.05" customHeight="1">
      <c r="AA20" s="233"/>
      <c r="AB20" s="233"/>
      <c r="AC20" s="233"/>
    </row>
    <row r="21" spans="4:29" ht="15.05" customHeight="1">
      <c r="AA21" s="233"/>
      <c r="AB21" s="233"/>
      <c r="AC21" s="233"/>
    </row>
    <row r="22" spans="4:29" ht="15.05" customHeight="1">
      <c r="AA22" s="233"/>
      <c r="AB22" s="233"/>
      <c r="AC22" s="233"/>
    </row>
    <row r="23" spans="4:29" ht="15.05" customHeight="1">
      <c r="AA23" s="233"/>
      <c r="AB23" s="233"/>
      <c r="AC23" s="233"/>
    </row>
    <row r="24" spans="4:29" ht="15.05" customHeight="1">
      <c r="AA24" s="233"/>
      <c r="AB24" s="233"/>
      <c r="AC24" s="233"/>
    </row>
    <row r="25" spans="4:29" ht="15.05" customHeight="1">
      <c r="AA25" s="233"/>
      <c r="AB25" s="233"/>
      <c r="AC25" s="233"/>
    </row>
    <row r="26" spans="4:29" ht="15.05" customHeight="1">
      <c r="AA26" s="233"/>
      <c r="AB26" s="233"/>
      <c r="AC26" s="233"/>
    </row>
    <row r="27" spans="4:29" ht="15.05" customHeight="1">
      <c r="AA27" s="233"/>
      <c r="AB27" s="233"/>
      <c r="AC27" s="233"/>
    </row>
    <row r="28" spans="4:29" ht="15.05" customHeight="1">
      <c r="AA28" s="233"/>
      <c r="AB28" s="233"/>
      <c r="AC28" s="233"/>
    </row>
    <row r="29" spans="4:29" ht="15.05" customHeight="1">
      <c r="AA29" s="233"/>
      <c r="AB29" s="233"/>
      <c r="AC29" s="233"/>
    </row>
    <row r="30" spans="4:29" ht="15.05" customHeight="1">
      <c r="AA30" s="233"/>
      <c r="AB30" s="233"/>
      <c r="AC30" s="233"/>
    </row>
    <row r="31" spans="4:29" ht="15.05" customHeight="1">
      <c r="AA31" s="233"/>
      <c r="AB31" s="233"/>
      <c r="AC31" s="233"/>
    </row>
    <row r="32" spans="4:29" ht="15.05" customHeight="1">
      <c r="AA32" s="233"/>
      <c r="AB32" s="233"/>
      <c r="AC32" s="233"/>
    </row>
    <row r="33" spans="27:29" ht="15.05" customHeight="1">
      <c r="AA33" s="233"/>
      <c r="AB33" s="233"/>
      <c r="AC33" s="233"/>
    </row>
    <row r="34" spans="27:29" ht="15.05" customHeight="1">
      <c r="AA34" s="233"/>
      <c r="AB34" s="233"/>
      <c r="AC34" s="233"/>
    </row>
    <row r="35" spans="27:29" ht="15.05" customHeight="1">
      <c r="AA35" s="233"/>
      <c r="AB35" s="233"/>
      <c r="AC35" s="233"/>
    </row>
    <row r="36" spans="27:29" ht="15.05" customHeight="1"/>
    <row r="37" spans="27:29" ht="15.05" customHeight="1"/>
    <row r="38" spans="27:29" ht="15.05" customHeight="1"/>
    <row r="39" spans="27:29" ht="15.05" customHeight="1"/>
  </sheetData>
  <sheetProtection algorithmName="SHA-512" hashValue="4yzk/y54X7fUL9t7Gyb4Jhwclddg0DfnQsaXL2TdzopXUFIGYGQ9FnqSsxb/Mr/VlxQqlN18gSCbznYaLcsNfA==" saltValue="xexWjFeoFTj4qUU0LNWpXw==" spinCount="100000" sheet="1" objects="1" scenarios="1" selectLockedCells="1" selectUnlockedCells="1"/>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17F9-17A2-473C-98BD-E9458C152778}">
  <dimension ref="A1:AC35"/>
  <sheetViews>
    <sheetView zoomScaleNormal="100" workbookViewId="0">
      <selection sqref="A1:IV65536"/>
    </sheetView>
  </sheetViews>
  <sheetFormatPr baseColWidth="10" defaultRowHeight="15.05"/>
  <cols>
    <col min="1" max="1" width="30.6640625" style="227" customWidth="1"/>
    <col min="2" max="17" width="11.5546875" style="227" customWidth="1"/>
    <col min="18" max="18" width="30.6640625" style="227" customWidth="1"/>
    <col min="19" max="19" width="40.6640625" style="227" customWidth="1"/>
    <col min="20" max="20" width="60.6640625" style="227" customWidth="1"/>
    <col min="21" max="21" width="21.6640625" style="227" customWidth="1"/>
    <col min="22" max="16384" width="11.5546875" style="227"/>
  </cols>
  <sheetData>
    <row r="1" spans="1:29" ht="18.350000000000001">
      <c r="A1" s="226" t="s">
        <v>0</v>
      </c>
      <c r="B1" s="226" t="s">
        <v>3</v>
      </c>
      <c r="C1" s="226" t="s">
        <v>15</v>
      </c>
      <c r="D1" s="226" t="s">
        <v>16</v>
      </c>
      <c r="E1" s="226" t="s">
        <v>17</v>
      </c>
      <c r="F1" s="226" t="s">
        <v>18</v>
      </c>
      <c r="G1" s="226" t="s">
        <v>19</v>
      </c>
      <c r="H1" s="226" t="s">
        <v>20</v>
      </c>
      <c r="I1" s="226" t="s">
        <v>21</v>
      </c>
      <c r="J1" s="226" t="s">
        <v>34</v>
      </c>
      <c r="K1" s="226" t="s">
        <v>37</v>
      </c>
      <c r="L1" s="226" t="s">
        <v>52</v>
      </c>
      <c r="M1" s="226" t="s">
        <v>53</v>
      </c>
      <c r="N1" s="226" t="s">
        <v>54</v>
      </c>
      <c r="O1" s="226" t="s">
        <v>427</v>
      </c>
      <c r="P1" s="226" t="s">
        <v>428</v>
      </c>
      <c r="Q1" s="226" t="s">
        <v>429</v>
      </c>
      <c r="R1" s="226" t="s">
        <v>238</v>
      </c>
      <c r="S1" s="226" t="s">
        <v>240</v>
      </c>
      <c r="T1" s="226" t="s">
        <v>239</v>
      </c>
      <c r="U1" s="226" t="s">
        <v>250</v>
      </c>
      <c r="AA1" s="228"/>
      <c r="AB1" s="228"/>
      <c r="AC1" s="228"/>
    </row>
    <row r="2" spans="1:29" ht="15.05" customHeight="1">
      <c r="A2" s="226" t="s">
        <v>970</v>
      </c>
      <c r="B2" s="235">
        <v>33.799999999999997</v>
      </c>
      <c r="C2" s="235">
        <v>1.31</v>
      </c>
      <c r="D2" s="226">
        <v>0.3</v>
      </c>
      <c r="E2" s="235">
        <v>3.83</v>
      </c>
      <c r="F2" s="235">
        <v>0.65</v>
      </c>
      <c r="G2" s="235">
        <v>1.9</v>
      </c>
      <c r="H2" s="235">
        <v>13</v>
      </c>
      <c r="I2" s="235">
        <v>31</v>
      </c>
      <c r="J2" s="226">
        <v>1.2999999999999999E-2</v>
      </c>
      <c r="K2" s="226">
        <v>0.35</v>
      </c>
      <c r="L2" s="226">
        <v>0.01</v>
      </c>
      <c r="M2" s="226">
        <v>0.02</v>
      </c>
      <c r="N2" s="226">
        <v>0.03</v>
      </c>
      <c r="O2" s="226">
        <v>0.01</v>
      </c>
      <c r="P2" s="226">
        <v>0.01</v>
      </c>
      <c r="Q2" s="226"/>
      <c r="R2" s="229" t="s">
        <v>975</v>
      </c>
      <c r="S2" s="229" t="s">
        <v>976</v>
      </c>
      <c r="T2" s="229"/>
      <c r="U2" s="226">
        <v>0</v>
      </c>
      <c r="AA2" s="228"/>
      <c r="AB2" s="228"/>
      <c r="AC2" s="228"/>
    </row>
    <row r="3" spans="1:29" ht="15.05" customHeight="1">
      <c r="A3" s="226" t="s">
        <v>437</v>
      </c>
      <c r="B3" s="235">
        <v>40.200000000000003</v>
      </c>
      <c r="C3" s="235">
        <v>0.63</v>
      </c>
      <c r="D3" s="226">
        <v>0.5</v>
      </c>
      <c r="E3" s="235">
        <v>7.59</v>
      </c>
      <c r="F3" s="235">
        <v>0.72</v>
      </c>
      <c r="G3" s="235">
        <v>2.7</v>
      </c>
      <c r="H3" s="235">
        <v>25</v>
      </c>
      <c r="I3" s="235">
        <v>22</v>
      </c>
      <c r="J3" s="235">
        <v>0.11</v>
      </c>
      <c r="K3" s="235">
        <v>0.4</v>
      </c>
      <c r="L3" s="226">
        <v>0.01</v>
      </c>
      <c r="M3" s="226">
        <v>0.02</v>
      </c>
      <c r="N3" s="226">
        <v>0.03</v>
      </c>
      <c r="O3" s="226">
        <v>0.01</v>
      </c>
      <c r="P3" s="226">
        <v>0.01</v>
      </c>
      <c r="Q3" s="226"/>
      <c r="R3" s="229" t="s">
        <v>438</v>
      </c>
      <c r="S3" s="229" t="s">
        <v>439</v>
      </c>
      <c r="T3" s="229" t="str">
        <f>"
Carotte : à éviter si votre chat est diabétique"</f>
        <v xml:space="preserve">
Carotte : à éviter si votre chat est diabétique</v>
      </c>
      <c r="U3" s="226">
        <v>0</v>
      </c>
      <c r="AA3" s="228"/>
      <c r="AB3" s="228"/>
      <c r="AC3" s="228"/>
    </row>
    <row r="4" spans="1:29" ht="15.05" customHeight="1">
      <c r="A4" s="226" t="s">
        <v>440</v>
      </c>
      <c r="B4" s="226">
        <v>31.6</v>
      </c>
      <c r="C4" s="235">
        <v>0.55000000000000004</v>
      </c>
      <c r="D4" s="235">
        <v>0.1</v>
      </c>
      <c r="E4" s="235">
        <v>2.6</v>
      </c>
      <c r="F4" s="235">
        <v>0.85</v>
      </c>
      <c r="G4" s="235">
        <v>2.8</v>
      </c>
      <c r="H4" s="235">
        <v>31.5</v>
      </c>
      <c r="I4" s="235">
        <v>18</v>
      </c>
      <c r="J4" s="235">
        <v>5.0999999999999997E-2</v>
      </c>
      <c r="K4" s="226">
        <v>0.5</v>
      </c>
      <c r="L4" s="226">
        <v>0</v>
      </c>
      <c r="M4" s="226">
        <v>0</v>
      </c>
      <c r="N4" s="226">
        <v>0</v>
      </c>
      <c r="O4" s="226">
        <v>0</v>
      </c>
      <c r="P4" s="226">
        <v>0</v>
      </c>
      <c r="Q4" s="226"/>
      <c r="R4" s="229" t="s">
        <v>255</v>
      </c>
      <c r="S4" s="229" t="s">
        <v>208</v>
      </c>
      <c r="T4" s="229" t="str">
        <f>"
Carotte : à éviter si votre chat est diabétique"</f>
        <v xml:space="preserve">
Carotte : à éviter si votre chat est diabétique</v>
      </c>
      <c r="U4" s="226">
        <v>0</v>
      </c>
      <c r="AA4" s="228"/>
      <c r="AB4" s="228"/>
      <c r="AC4" s="228"/>
    </row>
    <row r="5" spans="1:29" ht="15.05" customHeight="1">
      <c r="A5" s="226" t="s">
        <v>441</v>
      </c>
      <c r="B5" s="226">
        <v>29.9</v>
      </c>
      <c r="C5" s="226">
        <v>1</v>
      </c>
      <c r="D5" s="226">
        <v>0.1</v>
      </c>
      <c r="E5" s="226">
        <v>6</v>
      </c>
      <c r="F5" s="226">
        <v>0.8</v>
      </c>
      <c r="G5" s="226">
        <v>0.5</v>
      </c>
      <c r="H5" s="226">
        <v>21</v>
      </c>
      <c r="I5" s="226">
        <v>44</v>
      </c>
      <c r="J5" s="226">
        <v>2.5000000000000001E-3</v>
      </c>
      <c r="K5" s="226">
        <v>0</v>
      </c>
      <c r="L5" s="226">
        <v>0</v>
      </c>
      <c r="M5" s="226">
        <v>0</v>
      </c>
      <c r="N5" s="226">
        <v>0</v>
      </c>
      <c r="O5" s="226">
        <v>0</v>
      </c>
      <c r="P5" s="226">
        <v>0</v>
      </c>
      <c r="Q5" s="226"/>
      <c r="R5" s="229" t="s">
        <v>256</v>
      </c>
      <c r="S5" s="229" t="s">
        <v>208</v>
      </c>
      <c r="T5" s="229"/>
      <c r="U5" s="226">
        <v>0</v>
      </c>
      <c r="AA5" s="230"/>
      <c r="AB5" s="230"/>
      <c r="AC5" s="230"/>
    </row>
    <row r="6" spans="1:29" ht="15.05" customHeight="1">
      <c r="A6" s="226" t="s">
        <v>442</v>
      </c>
      <c r="B6" s="235">
        <v>30.7</v>
      </c>
      <c r="C6" s="235">
        <v>1.06</v>
      </c>
      <c r="D6" s="226">
        <v>0.5</v>
      </c>
      <c r="E6" s="235">
        <v>5.24</v>
      </c>
      <c r="F6" s="235">
        <v>0.73</v>
      </c>
      <c r="G6" s="235">
        <v>1.8</v>
      </c>
      <c r="H6" s="235">
        <v>17</v>
      </c>
      <c r="I6" s="235">
        <v>17</v>
      </c>
      <c r="J6" s="226">
        <v>1.2999999999999999E-2</v>
      </c>
      <c r="K6" s="235">
        <v>0.4</v>
      </c>
      <c r="L6" s="226">
        <v>0.01</v>
      </c>
      <c r="M6" s="226">
        <v>0.02</v>
      </c>
      <c r="N6" s="226">
        <v>0.03</v>
      </c>
      <c r="O6" s="226">
        <v>0.01</v>
      </c>
      <c r="P6" s="226">
        <v>0.01</v>
      </c>
      <c r="Q6" s="226"/>
      <c r="R6" s="229" t="s">
        <v>257</v>
      </c>
      <c r="S6" s="229" t="s">
        <v>209</v>
      </c>
      <c r="T6" s="229"/>
      <c r="U6" s="226">
        <v>0</v>
      </c>
      <c r="AA6" s="230"/>
      <c r="AB6" s="230"/>
      <c r="AC6" s="230"/>
    </row>
    <row r="7" spans="1:29" ht="15.05" customHeight="1">
      <c r="A7" s="226" t="s">
        <v>443</v>
      </c>
      <c r="B7" s="226">
        <v>28</v>
      </c>
      <c r="C7" s="226">
        <v>0.66</v>
      </c>
      <c r="D7" s="226">
        <v>0.26</v>
      </c>
      <c r="E7" s="226">
        <v>5.0599999999999996</v>
      </c>
      <c r="F7" s="226">
        <v>0.32</v>
      </c>
      <c r="G7" s="226">
        <v>1.4</v>
      </c>
      <c r="H7" s="226">
        <v>21</v>
      </c>
      <c r="I7" s="226">
        <v>14</v>
      </c>
      <c r="J7" s="226">
        <v>4.4999999999999998E-2</v>
      </c>
      <c r="K7" s="226">
        <v>0</v>
      </c>
      <c r="L7" s="226">
        <v>0</v>
      </c>
      <c r="M7" s="226">
        <v>0</v>
      </c>
      <c r="N7" s="226">
        <v>0</v>
      </c>
      <c r="O7" s="226">
        <v>0</v>
      </c>
      <c r="P7" s="226">
        <v>0</v>
      </c>
      <c r="Q7" s="226"/>
      <c r="R7" s="229" t="s">
        <v>258</v>
      </c>
      <c r="S7" s="229" t="s">
        <v>209</v>
      </c>
      <c r="T7" s="229"/>
      <c r="U7" s="226">
        <v>0</v>
      </c>
      <c r="AA7" s="230"/>
      <c r="AB7" s="230" t="s">
        <v>224</v>
      </c>
      <c r="AC7" s="230"/>
    </row>
    <row r="8" spans="1:29" ht="15.05" customHeight="1">
      <c r="A8" s="226" t="s">
        <v>444</v>
      </c>
      <c r="B8" s="235">
        <v>16.5</v>
      </c>
      <c r="C8" s="235">
        <v>1.23</v>
      </c>
      <c r="D8" s="235">
        <v>0.26</v>
      </c>
      <c r="E8" s="235">
        <v>1.8</v>
      </c>
      <c r="F8" s="235">
        <v>0.59</v>
      </c>
      <c r="G8" s="235">
        <v>1.05</v>
      </c>
      <c r="H8" s="235">
        <v>18.7</v>
      </c>
      <c r="I8" s="235">
        <v>44.7</v>
      </c>
      <c r="J8" s="235">
        <v>2.3E-2</v>
      </c>
      <c r="K8" s="235">
        <v>0</v>
      </c>
      <c r="L8" s="235">
        <v>0.01</v>
      </c>
      <c r="M8" s="226">
        <v>0.03</v>
      </c>
      <c r="N8" s="226">
        <v>5.5E-2</v>
      </c>
      <c r="O8" s="235">
        <v>0</v>
      </c>
      <c r="P8" s="235">
        <v>0</v>
      </c>
      <c r="Q8" s="226"/>
      <c r="R8" s="229" t="s">
        <v>445</v>
      </c>
      <c r="S8" s="229" t="s">
        <v>446</v>
      </c>
      <c r="T8" s="229"/>
      <c r="U8" s="226">
        <v>0</v>
      </c>
      <c r="AA8" s="230"/>
      <c r="AB8" s="230"/>
      <c r="AC8" s="230"/>
    </row>
    <row r="9" spans="1:29" ht="15.05" customHeight="1">
      <c r="A9" s="226" t="s">
        <v>447</v>
      </c>
      <c r="B9" s="235">
        <v>15.5</v>
      </c>
      <c r="C9" s="235">
        <v>0.93</v>
      </c>
      <c r="D9" s="235">
        <v>0.36</v>
      </c>
      <c r="E9" s="235">
        <v>1.4</v>
      </c>
      <c r="F9" s="235">
        <v>0.7</v>
      </c>
      <c r="G9" s="235">
        <v>1.5</v>
      </c>
      <c r="H9" s="235">
        <v>19.3</v>
      </c>
      <c r="I9" s="235">
        <v>65</v>
      </c>
      <c r="J9" s="235">
        <v>9.8000000000000004E-2</v>
      </c>
      <c r="K9" s="226">
        <v>0.5</v>
      </c>
      <c r="L9" s="235">
        <v>4.5999999999999999E-3</v>
      </c>
      <c r="M9" s="226">
        <v>4.1000000000000002E-2</v>
      </c>
      <c r="N9" s="226">
        <v>0.11</v>
      </c>
      <c r="O9" s="235">
        <v>0</v>
      </c>
      <c r="P9" s="235">
        <v>0</v>
      </c>
      <c r="Q9" s="226"/>
      <c r="R9" s="229" t="s">
        <v>259</v>
      </c>
      <c r="S9" s="229" t="s">
        <v>208</v>
      </c>
      <c r="T9" s="229"/>
      <c r="U9" s="226">
        <v>0</v>
      </c>
      <c r="AA9" s="230"/>
      <c r="AB9" s="230" t="s">
        <v>225</v>
      </c>
      <c r="AC9" s="230"/>
    </row>
    <row r="10" spans="1:29" ht="15.05" customHeight="1">
      <c r="A10" s="226" t="s">
        <v>448</v>
      </c>
      <c r="B10" s="235">
        <v>14.7</v>
      </c>
      <c r="C10" s="235">
        <v>0.56000000000000005</v>
      </c>
      <c r="D10" s="226">
        <v>0.5</v>
      </c>
      <c r="E10" s="235">
        <v>2.23</v>
      </c>
      <c r="F10" s="235">
        <v>0.41</v>
      </c>
      <c r="G10" s="235">
        <v>0.8</v>
      </c>
      <c r="H10" s="235">
        <v>16</v>
      </c>
      <c r="I10" s="235">
        <v>25</v>
      </c>
      <c r="J10" s="226">
        <v>1.2999999999999999E-2</v>
      </c>
      <c r="K10" s="226">
        <v>0.35</v>
      </c>
      <c r="L10" s="226">
        <v>0.01</v>
      </c>
      <c r="M10" s="226">
        <v>0.02</v>
      </c>
      <c r="N10" s="226">
        <v>0.03</v>
      </c>
      <c r="O10" s="226">
        <v>0.01</v>
      </c>
      <c r="P10" s="226">
        <v>0.01</v>
      </c>
      <c r="Q10" s="226"/>
      <c r="R10" s="229" t="s">
        <v>449</v>
      </c>
      <c r="S10" s="229" t="s">
        <v>446</v>
      </c>
      <c r="T10" s="229"/>
      <c r="U10" s="226">
        <v>0</v>
      </c>
      <c r="AA10" s="230"/>
      <c r="AB10" s="230"/>
      <c r="AC10" s="230"/>
    </row>
    <row r="11" spans="1:29" ht="15.05" customHeight="1">
      <c r="A11" s="226" t="s">
        <v>854</v>
      </c>
      <c r="B11" s="235">
        <v>23.5</v>
      </c>
      <c r="C11" s="235">
        <v>1.1299999999999999</v>
      </c>
      <c r="D11" s="226">
        <v>0.3</v>
      </c>
      <c r="E11" s="235">
        <v>4.38</v>
      </c>
      <c r="F11" s="235">
        <v>0.39</v>
      </c>
      <c r="G11" s="226">
        <v>0.5</v>
      </c>
      <c r="H11" s="235">
        <v>27</v>
      </c>
      <c r="I11" s="235">
        <v>27</v>
      </c>
      <c r="J11" s="226">
        <v>1.2999999999999999E-2</v>
      </c>
      <c r="K11" s="226">
        <v>0.35</v>
      </c>
      <c r="L11" s="226">
        <v>0.01</v>
      </c>
      <c r="M11" s="226">
        <v>0.02</v>
      </c>
      <c r="N11" s="226">
        <v>0.03</v>
      </c>
      <c r="O11" s="226">
        <v>0.01</v>
      </c>
      <c r="P11" s="226">
        <v>0.01</v>
      </c>
      <c r="Q11" s="226"/>
      <c r="R11" s="229" t="s">
        <v>855</v>
      </c>
      <c r="S11" s="229" t="s">
        <v>209</v>
      </c>
      <c r="T11" s="229" t="str">
        <f>"
Endive : ne convient pas aux chiens insuffisants rénaux"</f>
        <v xml:space="preserve">
Endive : ne convient pas aux chiens insuffisants rénaux</v>
      </c>
      <c r="U11" s="226">
        <v>0</v>
      </c>
      <c r="AA11" s="230"/>
      <c r="AB11" s="230" t="s">
        <v>226</v>
      </c>
      <c r="AC11" s="230"/>
    </row>
    <row r="12" spans="1:29" ht="15.05" customHeight="1">
      <c r="A12" s="226" t="s">
        <v>450</v>
      </c>
      <c r="B12" s="235">
        <v>29.4</v>
      </c>
      <c r="C12" s="235">
        <v>2</v>
      </c>
      <c r="D12" s="235">
        <v>0.17</v>
      </c>
      <c r="E12" s="235">
        <v>3</v>
      </c>
      <c r="F12" s="235">
        <v>0.69</v>
      </c>
      <c r="G12" s="235">
        <v>4</v>
      </c>
      <c r="H12" s="235">
        <v>55.3</v>
      </c>
      <c r="I12" s="235">
        <v>36</v>
      </c>
      <c r="J12" s="235">
        <v>0.4</v>
      </c>
      <c r="K12" s="235">
        <v>1.94</v>
      </c>
      <c r="L12" s="235">
        <v>7.1999999999999998E-3</v>
      </c>
      <c r="M12" s="226">
        <v>0.04</v>
      </c>
      <c r="N12" s="226">
        <v>4.7E-2</v>
      </c>
      <c r="O12" s="235">
        <v>0</v>
      </c>
      <c r="P12" s="235">
        <v>0</v>
      </c>
      <c r="Q12" s="226"/>
      <c r="R12" s="229" t="s">
        <v>260</v>
      </c>
      <c r="S12" s="229" t="s">
        <v>208</v>
      </c>
      <c r="T12" s="229"/>
      <c r="U12" s="226">
        <v>0</v>
      </c>
      <c r="AA12" s="230"/>
      <c r="AB12" s="230" t="s">
        <v>227</v>
      </c>
      <c r="AC12" s="230"/>
    </row>
    <row r="13" spans="1:29" ht="15.05" customHeight="1">
      <c r="A13" s="226" t="s">
        <v>451</v>
      </c>
      <c r="B13" s="235">
        <v>36.299999999999997</v>
      </c>
      <c r="C13" s="235">
        <v>1.95</v>
      </c>
      <c r="D13" s="235">
        <v>0.19</v>
      </c>
      <c r="E13" s="235">
        <v>5.0999999999999996</v>
      </c>
      <c r="F13" s="235">
        <v>0.47</v>
      </c>
      <c r="G13" s="235">
        <v>3.3</v>
      </c>
      <c r="H13" s="235">
        <v>51</v>
      </c>
      <c r="I13" s="235">
        <v>29</v>
      </c>
      <c r="J13" s="235">
        <v>3.8E-3</v>
      </c>
      <c r="K13" s="226">
        <v>3.61</v>
      </c>
      <c r="L13" s="226">
        <v>0</v>
      </c>
      <c r="M13" s="226">
        <v>0</v>
      </c>
      <c r="N13" s="226">
        <v>0</v>
      </c>
      <c r="O13" s="226">
        <v>0</v>
      </c>
      <c r="P13" s="226">
        <v>0</v>
      </c>
      <c r="Q13" s="226"/>
      <c r="R13" s="229" t="s">
        <v>261</v>
      </c>
      <c r="S13" s="229" t="s">
        <v>208</v>
      </c>
      <c r="T13" s="229"/>
      <c r="U13" s="226">
        <v>0</v>
      </c>
      <c r="AA13" s="230"/>
      <c r="AB13" s="230" t="s">
        <v>228</v>
      </c>
      <c r="AC13" s="230"/>
    </row>
    <row r="14" spans="1:29" ht="15.05" customHeight="1">
      <c r="A14" s="226" t="s">
        <v>452</v>
      </c>
      <c r="B14" s="235">
        <v>23.1</v>
      </c>
      <c r="C14" s="235">
        <v>1.33</v>
      </c>
      <c r="D14" s="235">
        <v>0.31</v>
      </c>
      <c r="E14" s="235">
        <v>2.0699999999999998</v>
      </c>
      <c r="F14" s="235">
        <v>1.04</v>
      </c>
      <c r="G14" s="235">
        <v>3.36</v>
      </c>
      <c r="H14" s="235">
        <v>42.7</v>
      </c>
      <c r="I14" s="235">
        <v>25.3</v>
      </c>
      <c r="J14" s="235">
        <v>0.68</v>
      </c>
      <c r="K14" s="235">
        <v>1</v>
      </c>
      <c r="L14" s="235">
        <v>8.9999999999999993E-3</v>
      </c>
      <c r="M14" s="226">
        <v>6.5000000000000002E-2</v>
      </c>
      <c r="N14" s="226">
        <v>7.6999999999999999E-2</v>
      </c>
      <c r="O14" s="226">
        <v>0</v>
      </c>
      <c r="P14" s="226">
        <v>0</v>
      </c>
      <c r="Q14" s="226"/>
      <c r="R14" s="229" t="s">
        <v>262</v>
      </c>
      <c r="S14" s="229" t="s">
        <v>210</v>
      </c>
      <c r="T14" s="229"/>
      <c r="U14" s="226">
        <v>0</v>
      </c>
      <c r="AA14" s="230"/>
      <c r="AB14" s="230"/>
      <c r="AC14" s="230"/>
    </row>
    <row r="15" spans="1:29" ht="15.05" customHeight="1">
      <c r="A15" s="226" t="s">
        <v>453</v>
      </c>
      <c r="B15" s="235">
        <v>16.8</v>
      </c>
      <c r="C15" s="235">
        <v>2</v>
      </c>
      <c r="D15" s="226">
        <v>0.5</v>
      </c>
      <c r="E15" s="235">
        <v>0.5</v>
      </c>
      <c r="F15" s="235">
        <v>1.1200000000000001</v>
      </c>
      <c r="G15" s="235">
        <v>2.2999999999999998</v>
      </c>
      <c r="H15" s="235">
        <v>41</v>
      </c>
      <c r="I15" s="235">
        <v>30</v>
      </c>
      <c r="J15" s="226">
        <v>1.2999999999999999E-2</v>
      </c>
      <c r="K15" s="226">
        <v>0.35</v>
      </c>
      <c r="L15" s="226">
        <v>0.01</v>
      </c>
      <c r="M15" s="226">
        <v>0.02</v>
      </c>
      <c r="N15" s="226">
        <v>0.03</v>
      </c>
      <c r="O15" s="226">
        <v>0.01</v>
      </c>
      <c r="P15" s="226">
        <v>0.01</v>
      </c>
      <c r="Q15" s="226"/>
      <c r="R15" s="229" t="s">
        <v>454</v>
      </c>
      <c r="S15" s="229" t="s">
        <v>439</v>
      </c>
      <c r="T15" s="229"/>
      <c r="U15" s="226">
        <v>0</v>
      </c>
      <c r="AA15" s="230"/>
      <c r="AB15" s="230" t="s">
        <v>229</v>
      </c>
      <c r="AC15" s="230"/>
    </row>
    <row r="16" spans="1:29" ht="15.05" customHeight="1">
      <c r="A16" s="226" t="s">
        <v>455</v>
      </c>
      <c r="B16" s="235">
        <v>49</v>
      </c>
      <c r="C16" s="235">
        <v>2.5099999999999998</v>
      </c>
      <c r="D16" s="235">
        <v>0.33</v>
      </c>
      <c r="E16" s="235">
        <v>7.39</v>
      </c>
      <c r="F16" s="235">
        <v>0.95</v>
      </c>
      <c r="G16" s="235">
        <v>3.27</v>
      </c>
      <c r="H16" s="235">
        <v>23</v>
      </c>
      <c r="I16" s="235">
        <v>46</v>
      </c>
      <c r="J16" s="235">
        <v>0.61</v>
      </c>
      <c r="K16" s="235">
        <v>3.5</v>
      </c>
      <c r="L16" s="226">
        <v>0.01</v>
      </c>
      <c r="M16" s="226">
        <v>0.02</v>
      </c>
      <c r="N16" s="226">
        <v>0.03</v>
      </c>
      <c r="O16" s="226">
        <v>0.01</v>
      </c>
      <c r="P16" s="226">
        <v>0.01</v>
      </c>
      <c r="Q16" s="226"/>
      <c r="R16" s="229" t="s">
        <v>263</v>
      </c>
      <c r="S16" s="229" t="s">
        <v>211</v>
      </c>
      <c r="T16" s="229"/>
      <c r="U16" s="226">
        <v>0</v>
      </c>
      <c r="AA16" s="230"/>
      <c r="AB16" s="230"/>
      <c r="AC16" s="230"/>
    </row>
    <row r="17" spans="1:29" ht="15.05" customHeight="1">
      <c r="A17" s="226" t="s">
        <v>456</v>
      </c>
      <c r="B17" s="226">
        <v>27</v>
      </c>
      <c r="C17" s="235">
        <v>0.81</v>
      </c>
      <c r="D17" s="235">
        <v>7.0000000000000007E-2</v>
      </c>
      <c r="E17" s="235">
        <v>4.5</v>
      </c>
      <c r="F17" s="235">
        <v>0.54</v>
      </c>
      <c r="G17" s="235">
        <v>2</v>
      </c>
      <c r="H17" s="235">
        <v>13</v>
      </c>
      <c r="I17" s="235">
        <v>21</v>
      </c>
      <c r="J17" s="226">
        <v>0.01</v>
      </c>
      <c r="K17" s="235">
        <v>0.6</v>
      </c>
      <c r="L17" s="226">
        <v>0.01</v>
      </c>
      <c r="M17" s="226">
        <v>0.02</v>
      </c>
      <c r="N17" s="226">
        <v>0.03</v>
      </c>
      <c r="O17" s="226">
        <v>0.01</v>
      </c>
      <c r="P17" s="226">
        <v>0.01</v>
      </c>
      <c r="Q17" s="226"/>
      <c r="R17" s="229" t="s">
        <v>319</v>
      </c>
      <c r="S17" s="229" t="s">
        <v>209</v>
      </c>
      <c r="T17" s="229"/>
      <c r="U17" s="226">
        <v>0</v>
      </c>
      <c r="AA17" s="230"/>
      <c r="AB17" s="230"/>
      <c r="AC17" s="230"/>
    </row>
    <row r="18" spans="1:29" ht="15.05" customHeight="1">
      <c r="A18" s="226" t="s">
        <v>912</v>
      </c>
      <c r="B18" s="235">
        <v>38.200000000000003</v>
      </c>
      <c r="C18" s="235">
        <v>1.06</v>
      </c>
      <c r="D18" s="235">
        <v>0.3</v>
      </c>
      <c r="E18" s="235">
        <v>6.88</v>
      </c>
      <c r="F18" s="235">
        <v>0.87</v>
      </c>
      <c r="G18" s="235">
        <v>1.8</v>
      </c>
      <c r="H18" s="235">
        <v>18</v>
      </c>
      <c r="I18" s="235">
        <v>27</v>
      </c>
      <c r="J18" s="226">
        <v>1.2999999999999999E-2</v>
      </c>
      <c r="K18" s="235">
        <v>1.2</v>
      </c>
      <c r="L18" s="235">
        <v>0.14000000000000001</v>
      </c>
      <c r="M18" s="226">
        <v>0.05</v>
      </c>
      <c r="N18" s="226">
        <v>0.05</v>
      </c>
      <c r="O18" s="226">
        <v>0.01</v>
      </c>
      <c r="P18" s="226">
        <v>0.01</v>
      </c>
      <c r="Q18" s="226"/>
      <c r="R18" s="229" t="s">
        <v>913</v>
      </c>
      <c r="S18" s="229" t="s">
        <v>208</v>
      </c>
      <c r="T18" s="229"/>
      <c r="U18" s="226">
        <v>0</v>
      </c>
      <c r="AA18" s="233"/>
      <c r="AB18" s="233"/>
      <c r="AC18" s="233"/>
    </row>
    <row r="19" spans="1:29" ht="15.05" customHeight="1">
      <c r="A19" s="226" t="s">
        <v>198</v>
      </c>
      <c r="B19" s="235">
        <v>359</v>
      </c>
      <c r="C19" s="235">
        <v>15.8</v>
      </c>
      <c r="D19" s="235">
        <v>6.48</v>
      </c>
      <c r="E19" s="235">
        <v>51</v>
      </c>
      <c r="F19" s="235">
        <v>2.5499999999999998</v>
      </c>
      <c r="G19" s="235">
        <v>16.7</v>
      </c>
      <c r="H19" s="235">
        <v>62.6</v>
      </c>
      <c r="I19" s="235">
        <v>627</v>
      </c>
      <c r="J19" s="235">
        <v>1.6E-2</v>
      </c>
      <c r="K19" s="226">
        <v>0</v>
      </c>
      <c r="L19" s="226">
        <v>0</v>
      </c>
      <c r="M19" s="226">
        <v>0</v>
      </c>
      <c r="N19" s="226">
        <v>0</v>
      </c>
      <c r="O19" s="226">
        <v>0</v>
      </c>
      <c r="P19" s="226">
        <v>0</v>
      </c>
      <c r="Q19" s="226"/>
      <c r="R19" s="229" t="s">
        <v>264</v>
      </c>
      <c r="S19" s="229" t="s">
        <v>340</v>
      </c>
      <c r="T19" s="229" t="str">
        <f>"
Son d'avoine : à donner tel quel dans la gamelle"</f>
        <v xml:space="preserve">
Son d'avoine : à donner tel quel dans la gamelle</v>
      </c>
      <c r="U19" s="226">
        <v>1.5</v>
      </c>
      <c r="AA19" s="233"/>
      <c r="AB19" s="233"/>
      <c r="AC19" s="233"/>
    </row>
    <row r="20" spans="1:29" ht="15.05" customHeight="1">
      <c r="A20" s="226" t="s">
        <v>384</v>
      </c>
      <c r="B20" s="235">
        <v>279</v>
      </c>
      <c r="C20" s="235">
        <v>15.2</v>
      </c>
      <c r="D20" s="235">
        <v>4.3499999999999996</v>
      </c>
      <c r="E20" s="235">
        <v>23.6</v>
      </c>
      <c r="F20" s="235">
        <v>5.6</v>
      </c>
      <c r="G20" s="235">
        <v>42</v>
      </c>
      <c r="H20" s="235">
        <v>73.900000000000006</v>
      </c>
      <c r="I20" s="235">
        <v>1030</v>
      </c>
      <c r="J20" s="235">
        <v>3.3000000000000002E-2</v>
      </c>
      <c r="K20" s="235">
        <v>20.9</v>
      </c>
      <c r="L20" s="235">
        <v>0.66</v>
      </c>
      <c r="M20" s="235">
        <v>2.3281000000000001</v>
      </c>
      <c r="N20" s="226">
        <v>0.16</v>
      </c>
      <c r="O20" s="235">
        <v>0</v>
      </c>
      <c r="P20" s="235">
        <v>0</v>
      </c>
      <c r="Q20" s="226"/>
      <c r="R20" s="229" t="s">
        <v>385</v>
      </c>
      <c r="S20" s="229" t="s">
        <v>340</v>
      </c>
      <c r="T20" s="229" t="str">
        <f>"
Son de blé : à donner tel quel dans la gamelle"</f>
        <v xml:space="preserve">
Son de blé : à donner tel quel dans la gamelle</v>
      </c>
      <c r="U20" s="226">
        <v>1.5</v>
      </c>
      <c r="AA20" s="233"/>
      <c r="AB20" s="233"/>
      <c r="AC20" s="233"/>
    </row>
    <row r="21" spans="1:29" ht="15.05" customHeight="1">
      <c r="A21" s="226"/>
      <c r="B21" s="235"/>
      <c r="C21" s="235"/>
      <c r="D21" s="235"/>
      <c r="E21" s="235"/>
      <c r="F21" s="235"/>
      <c r="G21" s="235"/>
      <c r="H21" s="226"/>
      <c r="I21" s="226"/>
      <c r="J21" s="226"/>
      <c r="K21" s="226"/>
      <c r="L21" s="235"/>
      <c r="M21" s="235"/>
      <c r="N21" s="226"/>
      <c r="O21" s="226"/>
      <c r="P21" s="226"/>
      <c r="R21" s="229"/>
      <c r="S21" s="229"/>
      <c r="T21" s="229"/>
      <c r="U21" s="226"/>
      <c r="AA21" s="233"/>
      <c r="AB21" s="233"/>
      <c r="AC21" s="233"/>
    </row>
    <row r="22" spans="1:29" ht="15.05" customHeight="1">
      <c r="A22" s="226"/>
      <c r="B22" s="226"/>
      <c r="C22" s="226"/>
      <c r="D22" s="226"/>
      <c r="E22" s="226"/>
      <c r="F22" s="226"/>
      <c r="G22" s="226"/>
      <c r="H22" s="226"/>
      <c r="I22" s="226"/>
      <c r="J22" s="226"/>
      <c r="K22" s="226"/>
      <c r="L22" s="226"/>
      <c r="M22" s="226"/>
      <c r="N22" s="226"/>
      <c r="O22" s="226"/>
      <c r="P22" s="226"/>
      <c r="Q22" s="226"/>
      <c r="R22" s="229"/>
      <c r="S22" s="229"/>
      <c r="T22" s="229"/>
      <c r="U22" s="226"/>
      <c r="AA22" s="233"/>
      <c r="AB22" s="233"/>
      <c r="AC22" s="233"/>
    </row>
    <row r="23" spans="1:29" ht="15.05" customHeight="1">
      <c r="A23" s="226"/>
      <c r="B23" s="226"/>
      <c r="C23" s="226"/>
      <c r="D23" s="226"/>
      <c r="E23" s="226"/>
      <c r="F23" s="226"/>
      <c r="G23" s="226"/>
      <c r="H23" s="226"/>
      <c r="I23" s="226"/>
      <c r="J23" s="226"/>
      <c r="K23" s="226"/>
      <c r="L23" s="226"/>
      <c r="M23" s="226"/>
      <c r="N23" s="226"/>
      <c r="O23" s="226"/>
      <c r="P23" s="226"/>
      <c r="Q23" s="226"/>
      <c r="R23" s="229"/>
      <c r="S23" s="229"/>
      <c r="T23" s="229"/>
      <c r="U23" s="226"/>
      <c r="AA23" s="233"/>
      <c r="AB23" s="233"/>
      <c r="AC23" s="233"/>
    </row>
    <row r="24" spans="1:29" ht="15.05" customHeight="1">
      <c r="A24" s="226"/>
      <c r="B24" s="226"/>
      <c r="C24" s="226"/>
      <c r="D24" s="226"/>
      <c r="E24" s="226"/>
      <c r="F24" s="226"/>
      <c r="G24" s="226"/>
      <c r="H24" s="226"/>
      <c r="I24" s="226"/>
      <c r="J24" s="226"/>
      <c r="K24" s="226"/>
      <c r="L24" s="226"/>
      <c r="M24" s="226"/>
      <c r="N24" s="226"/>
      <c r="O24" s="226"/>
      <c r="P24" s="226"/>
      <c r="Q24" s="226"/>
      <c r="R24" s="229"/>
      <c r="S24" s="229"/>
      <c r="T24" s="229"/>
      <c r="U24" s="226"/>
      <c r="AA24" s="233"/>
      <c r="AB24" s="233"/>
      <c r="AC24" s="233"/>
    </row>
    <row r="25" spans="1:29" ht="15.05" customHeight="1">
      <c r="A25" s="226"/>
      <c r="B25" s="226"/>
      <c r="C25" s="226"/>
      <c r="D25" s="226"/>
      <c r="E25" s="226"/>
      <c r="F25" s="226"/>
      <c r="G25" s="226"/>
      <c r="H25" s="226"/>
      <c r="I25" s="226"/>
      <c r="J25" s="226"/>
      <c r="K25" s="226"/>
      <c r="L25" s="226"/>
      <c r="M25" s="226"/>
      <c r="N25" s="226"/>
      <c r="O25" s="226"/>
      <c r="P25" s="226"/>
      <c r="R25" s="229"/>
      <c r="S25" s="229"/>
      <c r="T25" s="229"/>
      <c r="U25" s="226"/>
      <c r="AA25" s="233"/>
      <c r="AB25" s="233"/>
      <c r="AC25" s="233"/>
    </row>
    <row r="26" spans="1:29" ht="15.05" customHeight="1">
      <c r="A26" s="226"/>
      <c r="B26" s="226"/>
      <c r="C26" s="226"/>
      <c r="D26" s="226"/>
      <c r="E26" s="226"/>
      <c r="F26" s="226"/>
      <c r="G26" s="226"/>
      <c r="H26" s="226"/>
      <c r="I26" s="226"/>
      <c r="J26" s="226"/>
      <c r="K26" s="226"/>
      <c r="L26" s="226"/>
      <c r="M26" s="226"/>
      <c r="N26" s="226"/>
      <c r="O26" s="226"/>
      <c r="P26" s="226"/>
      <c r="R26" s="229"/>
      <c r="S26" s="229"/>
      <c r="T26" s="229"/>
      <c r="U26" s="226"/>
      <c r="AA26" s="233"/>
      <c r="AB26" s="233"/>
      <c r="AC26" s="233"/>
    </row>
    <row r="27" spans="1:29" ht="15.05" customHeight="1">
      <c r="R27" s="229"/>
      <c r="S27" s="229"/>
      <c r="T27" s="229"/>
      <c r="U27" s="226"/>
      <c r="AA27" s="233"/>
      <c r="AB27" s="233"/>
      <c r="AC27" s="233"/>
    </row>
    <row r="28" spans="1:29" ht="15.05" customHeight="1">
      <c r="AA28" s="233"/>
      <c r="AB28" s="233"/>
      <c r="AC28" s="233"/>
    </row>
    <row r="29" spans="1:29" ht="15.05" customHeight="1">
      <c r="AA29" s="233"/>
      <c r="AB29" s="233"/>
      <c r="AC29" s="233"/>
    </row>
    <row r="30" spans="1:29" ht="15.05" customHeight="1">
      <c r="H30" s="226" t="s">
        <v>886</v>
      </c>
      <c r="AA30" s="233"/>
      <c r="AB30" s="233"/>
      <c r="AC30" s="233"/>
    </row>
    <row r="31" spans="1:29" ht="15.05" customHeight="1">
      <c r="H31" s="232">
        <v>45457</v>
      </c>
      <c r="AA31" s="233"/>
      <c r="AB31" s="233"/>
      <c r="AC31" s="233"/>
    </row>
    <row r="32" spans="1:29" ht="15.05" customHeight="1">
      <c r="AA32" s="233"/>
      <c r="AB32" s="233"/>
      <c r="AC32" s="233"/>
    </row>
    <row r="33" spans="27:29" ht="15.05" customHeight="1">
      <c r="AA33" s="233"/>
      <c r="AB33" s="233"/>
      <c r="AC33" s="233"/>
    </row>
    <row r="34" spans="27:29" ht="15.05" customHeight="1">
      <c r="AA34" s="233"/>
      <c r="AB34" s="233"/>
      <c r="AC34" s="233"/>
    </row>
    <row r="35" spans="27:29" ht="15.05" customHeight="1">
      <c r="AA35" s="233"/>
      <c r="AB35" s="233"/>
      <c r="AC35" s="233"/>
    </row>
  </sheetData>
  <sheetProtection algorithmName="SHA-512" hashValue="AuHW6lm4IEFrNWvR6CYUrBtMH/PbRO3CXDrR4NpO6uGtjmYMhvq/NHdEqNwTu/gDIScBXLjrQR3+Ew35WEHB/g==" saltValue="7ehweBuZoqATRiydt2FTlA==" spinCount="100000" sheet="1" objects="1" scenarios="1" selectLockedCells="1" selectUnlockedCells="1"/>
  <pageMargins left="0.7" right="0.7" top="0.75" bottom="0.75" header="0.3" footer="0.3"/>
  <pageSetup paperSize="9" orientation="portrait" r:id="rId1"/>
  <ignoredErrors>
    <ignoredError sqref="B24:P2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73F5C-B5EA-46F8-B731-25419222404D}">
  <dimension ref="A1:AC38"/>
  <sheetViews>
    <sheetView zoomScaleNormal="100" workbookViewId="0">
      <selection sqref="A1:IV65536"/>
    </sheetView>
  </sheetViews>
  <sheetFormatPr baseColWidth="10" defaultRowHeight="15.05"/>
  <cols>
    <col min="1" max="1" width="30.6640625" style="227" customWidth="1"/>
    <col min="2" max="6" width="11.5546875" style="227"/>
    <col min="7" max="7" width="11.5546875" style="227" customWidth="1"/>
    <col min="8" max="17" width="11.5546875" style="227"/>
    <col min="18" max="18" width="30.6640625" style="227" customWidth="1"/>
    <col min="19" max="19" width="40.6640625" style="227" customWidth="1"/>
    <col min="20" max="20" width="100.6640625" style="227" customWidth="1"/>
    <col min="21" max="21" width="21.6640625" style="227" customWidth="1"/>
    <col min="22" max="16384" width="11.5546875" style="227"/>
  </cols>
  <sheetData>
    <row r="1" spans="1:29" ht="18.350000000000001">
      <c r="A1" s="226" t="s">
        <v>1</v>
      </c>
      <c r="B1" s="226" t="s">
        <v>3</v>
      </c>
      <c r="C1" s="226" t="s">
        <v>15</v>
      </c>
      <c r="D1" s="226" t="s">
        <v>16</v>
      </c>
      <c r="E1" s="226" t="s">
        <v>17</v>
      </c>
      <c r="F1" s="226" t="s">
        <v>18</v>
      </c>
      <c r="G1" s="226" t="s">
        <v>19</v>
      </c>
      <c r="H1" s="226" t="s">
        <v>20</v>
      </c>
      <c r="I1" s="226" t="s">
        <v>21</v>
      </c>
      <c r="J1" s="226" t="s">
        <v>34</v>
      </c>
      <c r="K1" s="226" t="s">
        <v>37</v>
      </c>
      <c r="L1" s="226" t="s">
        <v>52</v>
      </c>
      <c r="M1" s="226" t="s">
        <v>53</v>
      </c>
      <c r="N1" s="226" t="s">
        <v>54</v>
      </c>
      <c r="O1" s="226" t="s">
        <v>427</v>
      </c>
      <c r="P1" s="226" t="s">
        <v>428</v>
      </c>
      <c r="Q1" s="226" t="s">
        <v>429</v>
      </c>
      <c r="R1" s="226" t="s">
        <v>238</v>
      </c>
      <c r="S1" s="226" t="s">
        <v>240</v>
      </c>
      <c r="T1" s="226" t="s">
        <v>239</v>
      </c>
      <c r="U1" s="226" t="s">
        <v>522</v>
      </c>
      <c r="AA1" s="228"/>
      <c r="AB1" s="228"/>
      <c r="AC1" s="228"/>
    </row>
    <row r="2" spans="1:29" ht="15.05" customHeight="1">
      <c r="A2" s="226" t="s">
        <v>130</v>
      </c>
      <c r="B2" s="226">
        <v>900</v>
      </c>
      <c r="C2" s="226">
        <v>0</v>
      </c>
      <c r="D2" s="235">
        <v>100</v>
      </c>
      <c r="E2" s="235">
        <v>0</v>
      </c>
      <c r="F2" s="235">
        <v>5.3999999999999998E-5</v>
      </c>
      <c r="G2" s="235">
        <v>0</v>
      </c>
      <c r="H2" s="226">
        <v>2.57</v>
      </c>
      <c r="I2" s="235">
        <v>0</v>
      </c>
      <c r="J2" s="235">
        <v>0</v>
      </c>
      <c r="K2" s="235">
        <v>0</v>
      </c>
      <c r="L2" s="235">
        <v>55.2</v>
      </c>
      <c r="M2" s="226">
        <v>19.399999999999999</v>
      </c>
      <c r="N2" s="226">
        <v>7.54</v>
      </c>
      <c r="O2" s="235">
        <v>0</v>
      </c>
      <c r="P2" s="235">
        <v>0</v>
      </c>
      <c r="Q2" s="226"/>
      <c r="R2" s="229" t="s">
        <v>212</v>
      </c>
      <c r="S2" s="229" t="s">
        <v>213</v>
      </c>
      <c r="T2" s="229" t="str">
        <f>"
Huile de colza : ultra complète avec des Omegas 3, 6 et 9"</f>
        <v xml:space="preserve">
Huile de colza : ultra complète avec des Omegas 3, 6 et 9</v>
      </c>
      <c r="U2" s="226">
        <v>0</v>
      </c>
      <c r="AA2" s="228"/>
      <c r="AB2" s="228"/>
      <c r="AC2" s="228"/>
    </row>
    <row r="3" spans="1:29" ht="15.05" customHeight="1">
      <c r="A3" s="226" t="s">
        <v>131</v>
      </c>
      <c r="B3" s="235">
        <v>900</v>
      </c>
      <c r="C3" s="235">
        <v>0</v>
      </c>
      <c r="D3" s="235">
        <v>100</v>
      </c>
      <c r="E3" s="235">
        <v>0</v>
      </c>
      <c r="F3" s="235">
        <v>0</v>
      </c>
      <c r="G3" s="235">
        <v>0</v>
      </c>
      <c r="H3" s="235">
        <v>0</v>
      </c>
      <c r="I3" s="235">
        <v>0</v>
      </c>
      <c r="J3" s="235">
        <v>0</v>
      </c>
      <c r="K3" s="235">
        <v>0</v>
      </c>
      <c r="L3" s="226">
        <v>0</v>
      </c>
      <c r="M3" s="226">
        <v>0</v>
      </c>
      <c r="N3" s="226">
        <v>10.48</v>
      </c>
      <c r="O3" s="235">
        <v>6.27</v>
      </c>
      <c r="P3" s="235">
        <v>4.21</v>
      </c>
      <c r="Q3" s="226"/>
      <c r="R3" s="229" t="s">
        <v>171</v>
      </c>
      <c r="S3" s="229" t="s">
        <v>214</v>
      </c>
      <c r="T3" s="229" t="str">
        <f>"
Huile de poisson : elle n'apporte que des oméga 3 et attention à la conservation car elle s'oxyde très facilement"</f>
        <v xml:space="preserve">
Huile de poisson : elle n'apporte que des oméga 3 et attention à la conservation car elle s'oxyde très facilement</v>
      </c>
      <c r="U3" s="226">
        <v>0</v>
      </c>
      <c r="AA3" s="228"/>
      <c r="AB3" s="228"/>
      <c r="AC3" s="228"/>
    </row>
    <row r="4" spans="1:29" ht="15.05" customHeight="1">
      <c r="A4" s="226" t="s">
        <v>133</v>
      </c>
      <c r="B4" s="235">
        <v>900</v>
      </c>
      <c r="C4" s="235">
        <v>0</v>
      </c>
      <c r="D4" s="235">
        <v>100</v>
      </c>
      <c r="E4" s="235">
        <v>0</v>
      </c>
      <c r="F4" s="235">
        <v>0</v>
      </c>
      <c r="G4" s="235">
        <v>0</v>
      </c>
      <c r="H4" s="235">
        <v>0</v>
      </c>
      <c r="I4" s="235">
        <v>0</v>
      </c>
      <c r="J4" s="235">
        <v>0</v>
      </c>
      <c r="K4" s="235">
        <v>0</v>
      </c>
      <c r="L4" s="226">
        <v>0</v>
      </c>
      <c r="M4" s="226">
        <v>0</v>
      </c>
      <c r="N4" s="226">
        <v>20.799999999999997</v>
      </c>
      <c r="O4" s="235">
        <v>10.1</v>
      </c>
      <c r="P4" s="235">
        <v>10.7</v>
      </c>
      <c r="Q4" s="226"/>
      <c r="R4" s="229" t="s">
        <v>172</v>
      </c>
      <c r="S4" s="229" t="s">
        <v>214</v>
      </c>
      <c r="T4" s="229" t="str">
        <f>"
Huile de poisson : elle n'apporte que des oméga 3 et attention à la conservation car elle s'oxyde très facilement"</f>
        <v xml:space="preserve">
Huile de poisson : elle n'apporte que des oméga 3 et attention à la conservation car elle s'oxyde très facilement</v>
      </c>
      <c r="U4" s="226">
        <v>0</v>
      </c>
      <c r="AA4" s="228"/>
      <c r="AB4" s="228"/>
      <c r="AC4" s="228"/>
    </row>
    <row r="5" spans="1:29" ht="15.05" customHeight="1">
      <c r="A5" s="226" t="s">
        <v>134</v>
      </c>
      <c r="B5" s="235">
        <v>900</v>
      </c>
      <c r="C5" s="235">
        <v>0</v>
      </c>
      <c r="D5" s="235">
        <v>100</v>
      </c>
      <c r="E5" s="235">
        <v>0</v>
      </c>
      <c r="F5" s="235">
        <v>0</v>
      </c>
      <c r="G5" s="235">
        <v>0</v>
      </c>
      <c r="H5" s="235">
        <v>0</v>
      </c>
      <c r="I5" s="235">
        <v>0</v>
      </c>
      <c r="J5" s="235">
        <v>0</v>
      </c>
      <c r="K5" s="235">
        <v>0</v>
      </c>
      <c r="L5" s="226">
        <v>0</v>
      </c>
      <c r="M5" s="226">
        <v>0</v>
      </c>
      <c r="N5" s="226">
        <v>31.2</v>
      </c>
      <c r="O5" s="235">
        <v>13</v>
      </c>
      <c r="P5" s="235">
        <v>18.2</v>
      </c>
      <c r="Q5" s="226"/>
      <c r="R5" s="229" t="s">
        <v>173</v>
      </c>
      <c r="S5" s="229" t="s">
        <v>214</v>
      </c>
      <c r="T5" s="229" t="str">
        <f>"
Huile de poisson : elle n'apporte que des oméga 3 et attention à la conservation car elle s'oxyde très facilement"</f>
        <v xml:space="preserve">
Huile de poisson : elle n'apporte que des oméga 3 et attention à la conservation car elle s'oxyde très facilement</v>
      </c>
      <c r="U5" s="226">
        <v>0</v>
      </c>
      <c r="AA5" s="230"/>
      <c r="AB5" s="230"/>
      <c r="AC5" s="230"/>
    </row>
    <row r="6" spans="1:29" ht="15.05" customHeight="1">
      <c r="A6" s="226" t="s">
        <v>132</v>
      </c>
      <c r="B6" s="235">
        <v>900</v>
      </c>
      <c r="C6" s="235">
        <v>0</v>
      </c>
      <c r="D6" s="235">
        <v>100</v>
      </c>
      <c r="E6" s="235">
        <v>0</v>
      </c>
      <c r="F6" s="226">
        <v>0.25</v>
      </c>
      <c r="G6" s="235">
        <v>0</v>
      </c>
      <c r="H6" s="235">
        <v>0.3</v>
      </c>
      <c r="I6" s="226">
        <v>0.3</v>
      </c>
      <c r="J6" s="226">
        <v>1.2999999999999999E-2</v>
      </c>
      <c r="K6" s="235">
        <v>0</v>
      </c>
      <c r="L6" s="235">
        <v>18.600000000000001</v>
      </c>
      <c r="M6" s="226">
        <v>63.71</v>
      </c>
      <c r="N6" s="226">
        <v>0.34</v>
      </c>
      <c r="O6" s="226">
        <v>0.01</v>
      </c>
      <c r="P6" s="226">
        <v>0.01</v>
      </c>
      <c r="Q6" s="226"/>
      <c r="R6" s="229" t="s">
        <v>215</v>
      </c>
      <c r="S6" s="229" t="s">
        <v>752</v>
      </c>
      <c r="T6" s="229" t="str">
        <f>"
Huile de pépins de raisin : elle n'apporte que des oméga 6, à alterner avec de l'huile de poisson"</f>
        <v xml:space="preserve">
Huile de pépins de raisin : elle n'apporte que des oméga 6, à alterner avec de l'huile de poisson</v>
      </c>
      <c r="U6" s="226">
        <v>0</v>
      </c>
      <c r="AA6" s="230"/>
      <c r="AB6" s="230"/>
      <c r="AC6" s="230"/>
    </row>
    <row r="7" spans="1:29" ht="15.05" customHeight="1">
      <c r="A7" s="226" t="s">
        <v>174</v>
      </c>
      <c r="B7" s="235">
        <v>900</v>
      </c>
      <c r="C7" s="235">
        <v>0</v>
      </c>
      <c r="D7" s="235">
        <v>100</v>
      </c>
      <c r="E7" s="235">
        <v>0</v>
      </c>
      <c r="F7" s="235">
        <v>0</v>
      </c>
      <c r="G7" s="235">
        <v>0</v>
      </c>
      <c r="H7" s="235">
        <v>0</v>
      </c>
      <c r="I7" s="235">
        <v>0</v>
      </c>
      <c r="J7" s="235">
        <v>0</v>
      </c>
      <c r="K7" s="235">
        <v>0</v>
      </c>
      <c r="L7" s="235">
        <v>15.2</v>
      </c>
      <c r="M7" s="226">
        <v>56.1</v>
      </c>
      <c r="N7" s="226">
        <v>11.9</v>
      </c>
      <c r="O7" s="235">
        <v>0</v>
      </c>
      <c r="P7" s="235">
        <v>0</v>
      </c>
      <c r="Q7" s="226"/>
      <c r="R7" s="229" t="s">
        <v>177</v>
      </c>
      <c r="S7" s="229" t="s">
        <v>753</v>
      </c>
      <c r="T7" s="229" t="str">
        <f>"
Huile de noix : contient surtout des oméga 6 mais également des oméga 3 et 9"</f>
        <v xml:space="preserve">
Huile de noix : contient surtout des oméga 6 mais également des oméga 3 et 9</v>
      </c>
      <c r="U7" s="226">
        <v>0</v>
      </c>
      <c r="AA7" s="230"/>
      <c r="AB7" s="230" t="s">
        <v>224</v>
      </c>
      <c r="AC7" s="230"/>
    </row>
    <row r="8" spans="1:29" ht="15.05" customHeight="1">
      <c r="A8" s="226" t="s">
        <v>175</v>
      </c>
      <c r="B8" s="235">
        <v>900</v>
      </c>
      <c r="C8" s="235">
        <v>0</v>
      </c>
      <c r="D8" s="235">
        <v>100</v>
      </c>
      <c r="E8" s="235">
        <v>0</v>
      </c>
      <c r="F8" s="235">
        <v>0</v>
      </c>
      <c r="G8" s="235">
        <v>0</v>
      </c>
      <c r="H8" s="235">
        <v>0</v>
      </c>
      <c r="I8" s="235">
        <v>0</v>
      </c>
      <c r="J8" s="235">
        <v>0</v>
      </c>
      <c r="K8" s="235">
        <v>0</v>
      </c>
      <c r="L8" s="235">
        <v>12.5</v>
      </c>
      <c r="M8" s="226">
        <v>46.9</v>
      </c>
      <c r="N8" s="226">
        <v>5.91</v>
      </c>
      <c r="O8" s="235">
        <v>0</v>
      </c>
      <c r="P8" s="235">
        <v>0</v>
      </c>
      <c r="Q8" s="226"/>
      <c r="R8" s="229" t="s">
        <v>178</v>
      </c>
      <c r="S8" s="229" t="s">
        <v>216</v>
      </c>
      <c r="T8" s="229" t="str">
        <f>"
Huile de germe de blé : équilibrée en oméga mais très riche en vitamines du groupe E"</f>
        <v xml:space="preserve">
Huile de germe de blé : équilibrée en oméga mais très riche en vitamines du groupe E</v>
      </c>
      <c r="U8" s="226">
        <v>0</v>
      </c>
      <c r="AA8" s="230"/>
      <c r="AB8" s="230"/>
      <c r="AC8" s="230"/>
    </row>
    <row r="9" spans="1:29" ht="15.05" customHeight="1">
      <c r="A9" s="226" t="s">
        <v>176</v>
      </c>
      <c r="B9" s="226">
        <v>900</v>
      </c>
      <c r="C9" s="226">
        <v>0</v>
      </c>
      <c r="D9" s="226">
        <v>100</v>
      </c>
      <c r="E9" s="226">
        <v>0</v>
      </c>
      <c r="F9" s="226">
        <v>0</v>
      </c>
      <c r="G9" s="226">
        <v>0</v>
      </c>
      <c r="H9" s="226">
        <v>0</v>
      </c>
      <c r="I9" s="226">
        <v>0</v>
      </c>
      <c r="J9" s="226">
        <v>0</v>
      </c>
      <c r="K9" s="226">
        <v>0</v>
      </c>
      <c r="L9" s="226">
        <v>18</v>
      </c>
      <c r="M9" s="226">
        <v>37</v>
      </c>
      <c r="N9" s="226">
        <v>0.2</v>
      </c>
      <c r="O9" s="226">
        <v>0</v>
      </c>
      <c r="P9" s="226">
        <v>0</v>
      </c>
      <c r="Q9" s="226"/>
      <c r="R9" s="229" t="s">
        <v>179</v>
      </c>
      <c r="S9" s="229" t="s">
        <v>752</v>
      </c>
      <c r="T9" s="229" t="str">
        <f>"
Huile de bourrache : elle n'apporte que des oméga 6, à alterner avec de l'huile de poisson"</f>
        <v xml:space="preserve">
Huile de bourrache : elle n'apporte que des oméga 6, à alterner avec de l'huile de poisson</v>
      </c>
      <c r="U9" s="226">
        <v>0</v>
      </c>
      <c r="AA9" s="230"/>
      <c r="AB9" s="230" t="s">
        <v>225</v>
      </c>
      <c r="AC9" s="230"/>
    </row>
    <row r="10" spans="1:29" s="226" customFormat="1" ht="15.05" customHeight="1">
      <c r="A10" s="226" t="s">
        <v>180</v>
      </c>
      <c r="B10" s="226">
        <v>900</v>
      </c>
      <c r="C10" s="226">
        <v>0</v>
      </c>
      <c r="D10" s="226">
        <v>100</v>
      </c>
      <c r="E10" s="226">
        <v>0</v>
      </c>
      <c r="F10" s="226">
        <v>0</v>
      </c>
      <c r="G10" s="226">
        <v>0</v>
      </c>
      <c r="H10" s="226">
        <v>0</v>
      </c>
      <c r="I10" s="226">
        <v>0</v>
      </c>
      <c r="J10" s="226">
        <v>0</v>
      </c>
      <c r="K10" s="226">
        <v>0</v>
      </c>
      <c r="L10" s="226">
        <v>0</v>
      </c>
      <c r="M10" s="226">
        <v>24</v>
      </c>
      <c r="N10" s="226">
        <v>5.6</v>
      </c>
      <c r="O10" s="226">
        <v>0</v>
      </c>
      <c r="P10" s="226">
        <v>0</v>
      </c>
      <c r="R10" s="229" t="s">
        <v>181</v>
      </c>
      <c r="S10" s="229" t="s">
        <v>753</v>
      </c>
      <c r="T10" s="229" t="str">
        <f>"
Huile ISIO 4 : cette huile contient essentiellement des oméga 3 et 6"</f>
        <v xml:space="preserve">
Huile ISIO 4 : cette huile contient essentiellement des oméga 3 et 6</v>
      </c>
      <c r="U10" s="226">
        <v>0</v>
      </c>
      <c r="AA10" s="230"/>
      <c r="AB10" s="230"/>
      <c r="AC10" s="230"/>
    </row>
    <row r="11" spans="1:29" s="226" customFormat="1" ht="15.05" customHeight="1">
      <c r="A11" s="234" t="s">
        <v>521</v>
      </c>
      <c r="B11" s="226">
        <v>670</v>
      </c>
      <c r="C11" s="226">
        <v>21.2</v>
      </c>
      <c r="D11" s="226">
        <v>70.099999999999994</v>
      </c>
      <c r="E11" s="226">
        <v>0</v>
      </c>
      <c r="F11" s="226">
        <v>0.3</v>
      </c>
      <c r="G11" s="226">
        <v>1.4</v>
      </c>
      <c r="H11" s="226">
        <v>0</v>
      </c>
      <c r="I11" s="226">
        <v>0</v>
      </c>
      <c r="J11" s="226">
        <v>0</v>
      </c>
      <c r="K11" s="226">
        <v>0</v>
      </c>
      <c r="L11" s="226">
        <v>10</v>
      </c>
      <c r="M11" s="226">
        <v>20.73</v>
      </c>
      <c r="N11" s="226">
        <v>7.91</v>
      </c>
      <c r="O11" s="226">
        <v>4.74</v>
      </c>
      <c r="P11" s="226">
        <v>3.17</v>
      </c>
      <c r="R11" s="229" t="s">
        <v>526</v>
      </c>
      <c r="S11" s="229" t="s">
        <v>531</v>
      </c>
      <c r="T11" s="229" t="str">
        <f>"
Gélule Agepi Omega : idéal pour utiliser avec une viande grasse"</f>
        <v xml:space="preserve">
Gélule Agepi Omega : idéal pour utiliser avec une viande grasse</v>
      </c>
      <c r="U11" s="226">
        <v>5</v>
      </c>
      <c r="AA11" s="230"/>
      <c r="AB11" s="230" t="s">
        <v>226</v>
      </c>
      <c r="AC11" s="230"/>
    </row>
    <row r="12" spans="1:29" s="226" customFormat="1" ht="15.05" customHeight="1">
      <c r="R12" s="229"/>
      <c r="S12" s="229"/>
      <c r="T12" s="229"/>
      <c r="AA12" s="230"/>
      <c r="AB12" s="230" t="s">
        <v>227</v>
      </c>
      <c r="AC12" s="230"/>
    </row>
    <row r="13" spans="1:29" s="226" customFormat="1" ht="15.05" customHeight="1">
      <c r="R13" s="229"/>
      <c r="S13" s="229"/>
      <c r="T13" s="229"/>
      <c r="AA13" s="230"/>
      <c r="AB13" s="230" t="s">
        <v>228</v>
      </c>
      <c r="AC13" s="230"/>
    </row>
    <row r="14" spans="1:29" s="226" customFormat="1" ht="15.05" customHeight="1">
      <c r="R14" s="229"/>
      <c r="S14" s="229"/>
      <c r="T14" s="229"/>
      <c r="AA14" s="230"/>
      <c r="AB14" s="230"/>
      <c r="AC14" s="230"/>
    </row>
    <row r="15" spans="1:29" s="226" customFormat="1" ht="15.05" customHeight="1">
      <c r="R15" s="229"/>
      <c r="S15" s="229"/>
      <c r="T15" s="229"/>
      <c r="AA15" s="230"/>
      <c r="AB15" s="230" t="s">
        <v>229</v>
      </c>
      <c r="AC15" s="230"/>
    </row>
    <row r="16" spans="1:29" s="226" customFormat="1" ht="15.05" customHeight="1">
      <c r="A16" s="227"/>
      <c r="B16" s="227"/>
      <c r="C16" s="227"/>
      <c r="D16" s="227"/>
      <c r="E16" s="227"/>
      <c r="F16" s="227"/>
      <c r="G16" s="227"/>
      <c r="H16" s="227"/>
      <c r="I16" s="227"/>
      <c r="J16" s="227"/>
      <c r="K16" s="227"/>
      <c r="L16" s="227"/>
      <c r="M16" s="227"/>
      <c r="N16" s="227"/>
      <c r="O16" s="227"/>
      <c r="P16" s="227"/>
      <c r="Q16" s="227"/>
      <c r="AA16" s="230"/>
      <c r="AB16" s="230"/>
      <c r="AC16" s="230"/>
    </row>
    <row r="17" spans="1:29" s="226" customFormat="1" ht="15.05" customHeight="1">
      <c r="A17" s="227"/>
      <c r="B17" s="227"/>
      <c r="C17" s="227"/>
      <c r="D17" s="227"/>
      <c r="E17" s="227"/>
      <c r="F17" s="227"/>
      <c r="G17" s="227"/>
      <c r="H17" s="227"/>
      <c r="I17" s="227"/>
      <c r="J17" s="227"/>
      <c r="K17" s="227"/>
      <c r="L17" s="227"/>
      <c r="M17" s="227"/>
      <c r="N17" s="227"/>
      <c r="O17" s="227"/>
      <c r="P17" s="227"/>
      <c r="Q17" s="227"/>
      <c r="AA17" s="230"/>
      <c r="AB17" s="230"/>
      <c r="AC17" s="230"/>
    </row>
    <row r="18" spans="1:29" s="226" customFormat="1" ht="15.05" customHeight="1">
      <c r="A18" s="227"/>
      <c r="B18" s="231"/>
      <c r="C18" s="231" t="s">
        <v>708</v>
      </c>
      <c r="D18" s="227"/>
      <c r="E18" s="227"/>
      <c r="F18" s="226" t="s">
        <v>886</v>
      </c>
      <c r="G18" s="227" t="s">
        <v>954</v>
      </c>
      <c r="H18" s="227"/>
      <c r="I18" s="227"/>
      <c r="J18" s="227"/>
      <c r="K18" s="227"/>
      <c r="L18" s="227"/>
      <c r="M18" s="227"/>
      <c r="N18" s="227"/>
      <c r="O18" s="227"/>
      <c r="P18" s="227"/>
      <c r="Q18" s="227"/>
      <c r="AA18" s="233"/>
      <c r="AB18" s="233"/>
      <c r="AC18" s="233"/>
    </row>
    <row r="19" spans="1:29" s="226" customFormat="1" ht="15.05" customHeight="1">
      <c r="A19" s="227"/>
      <c r="B19" s="238"/>
      <c r="C19" s="238"/>
      <c r="D19" s="227"/>
      <c r="E19" s="227"/>
      <c r="F19" s="232">
        <v>45457</v>
      </c>
      <c r="G19" s="227"/>
      <c r="H19" s="227"/>
      <c r="I19" s="227"/>
      <c r="J19" s="227"/>
      <c r="K19" s="227"/>
      <c r="L19" s="227"/>
      <c r="M19" s="227"/>
      <c r="N19" s="227"/>
      <c r="O19" s="227"/>
      <c r="P19" s="227"/>
      <c r="Q19" s="227"/>
      <c r="AA19" s="233"/>
      <c r="AB19" s="233"/>
      <c r="AC19" s="233"/>
    </row>
    <row r="20" spans="1:29" s="226" customFormat="1" ht="15.05" customHeight="1">
      <c r="A20" s="227"/>
      <c r="B20" s="227"/>
      <c r="C20" s="227"/>
      <c r="D20" s="227"/>
      <c r="E20" s="227"/>
      <c r="F20" s="227"/>
      <c r="G20" s="227"/>
      <c r="H20" s="227"/>
      <c r="I20" s="227"/>
      <c r="J20" s="227"/>
      <c r="K20" s="227"/>
      <c r="L20" s="227"/>
      <c r="M20" s="227"/>
      <c r="N20" s="227"/>
      <c r="O20" s="227"/>
      <c r="P20" s="227"/>
      <c r="Q20" s="227"/>
      <c r="AA20" s="233"/>
      <c r="AB20" s="233"/>
      <c r="AC20" s="233"/>
    </row>
    <row r="21" spans="1:29" ht="15.05" customHeight="1">
      <c r="AA21" s="233"/>
      <c r="AB21" s="233"/>
      <c r="AC21" s="233"/>
    </row>
    <row r="22" spans="1:29" ht="15.05" customHeight="1">
      <c r="AA22" s="233"/>
      <c r="AB22" s="233"/>
      <c r="AC22" s="233"/>
    </row>
    <row r="23" spans="1:29" ht="15.05" customHeight="1">
      <c r="AA23" s="233"/>
      <c r="AB23" s="233"/>
      <c r="AC23" s="233"/>
    </row>
    <row r="24" spans="1:29" ht="15.05" customHeight="1">
      <c r="AA24" s="233"/>
      <c r="AB24" s="233"/>
      <c r="AC24" s="233"/>
    </row>
    <row r="25" spans="1:29" ht="15.05" customHeight="1">
      <c r="AA25" s="233"/>
      <c r="AB25" s="233"/>
      <c r="AC25" s="233"/>
    </row>
    <row r="26" spans="1:29" ht="15.05" customHeight="1">
      <c r="AA26" s="233"/>
      <c r="AB26" s="233"/>
      <c r="AC26" s="233"/>
    </row>
    <row r="27" spans="1:29" ht="15.05" customHeight="1">
      <c r="AA27" s="233"/>
      <c r="AB27" s="233"/>
      <c r="AC27" s="233"/>
    </row>
    <row r="28" spans="1:29" ht="15.05" customHeight="1">
      <c r="AA28" s="233"/>
      <c r="AB28" s="233"/>
      <c r="AC28" s="233"/>
    </row>
    <row r="29" spans="1:29" ht="15.05" customHeight="1">
      <c r="AA29" s="233"/>
      <c r="AB29" s="233"/>
      <c r="AC29" s="233"/>
    </row>
    <row r="30" spans="1:29" ht="15.05" customHeight="1">
      <c r="AA30" s="233"/>
      <c r="AB30" s="233"/>
      <c r="AC30" s="233"/>
    </row>
    <row r="31" spans="1:29" ht="15.05" customHeight="1">
      <c r="AA31" s="233"/>
      <c r="AB31" s="233"/>
      <c r="AC31" s="233"/>
    </row>
    <row r="32" spans="1:29" ht="15.05" customHeight="1">
      <c r="AA32" s="233"/>
      <c r="AB32" s="233"/>
      <c r="AC32" s="233"/>
    </row>
    <row r="33" spans="27:29" ht="15.05" customHeight="1">
      <c r="AA33" s="233"/>
      <c r="AB33" s="233"/>
      <c r="AC33" s="233"/>
    </row>
    <row r="34" spans="27:29" ht="15.05" customHeight="1">
      <c r="AA34" s="233"/>
      <c r="AB34" s="233"/>
      <c r="AC34" s="233"/>
    </row>
    <row r="35" spans="27:29" ht="15.05" customHeight="1">
      <c r="AA35" s="233"/>
      <c r="AB35" s="233"/>
      <c r="AC35" s="233"/>
    </row>
    <row r="36" spans="27:29" ht="15.05" customHeight="1"/>
    <row r="37" spans="27:29" ht="15.05" customHeight="1"/>
    <row r="38" spans="27:29" ht="15.05" customHeight="1"/>
  </sheetData>
  <sheetProtection algorithmName="SHA-512" hashValue="VisCwjs9YjKB7MuROFwf/SKolz87zuPYMMsPgSxeOCQUCVQ7YYSgN1PZHZBrEUyDCYbvv5OFON2HLiv4am+zqQ==" saltValue="9Fh1/hf/bAWEJv/ucoo+ow==" spinCount="100000" sheet="1" objects="1" scenarios="1" selectLockedCells="1" selectUnlockedCells="1"/>
  <mergeCells count="2">
    <mergeCell ref="B18:B19"/>
    <mergeCell ref="C18:C19"/>
  </mergeCells>
  <pageMargins left="0.7" right="0.7" top="0.75" bottom="0.75" header="0.3" footer="0.3"/>
  <pageSetup paperSize="9" orientation="portrait" r:id="rId1"/>
  <ignoredErrors>
    <ignoredError sqref="B15:P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7598-2780-421F-B707-422C07DB96D2}">
  <dimension ref="A1:AC42"/>
  <sheetViews>
    <sheetView zoomScaleNormal="100" workbookViewId="0">
      <selection sqref="A1:IV65536"/>
    </sheetView>
  </sheetViews>
  <sheetFormatPr baseColWidth="10" defaultRowHeight="15.05"/>
  <cols>
    <col min="1" max="1" width="30.6640625" style="227" customWidth="1"/>
    <col min="2" max="6" width="11.5546875" style="227"/>
    <col min="7" max="7" width="11.5546875" style="227" customWidth="1"/>
    <col min="8" max="17" width="11.5546875" style="227"/>
    <col min="18" max="18" width="30.6640625" style="227" customWidth="1"/>
    <col min="19" max="19" width="40.6640625" style="227" customWidth="1"/>
    <col min="20" max="20" width="90.77734375" style="227" customWidth="1"/>
    <col min="21" max="21" width="21.6640625" style="227" customWidth="1"/>
    <col min="22" max="16384" width="11.5546875" style="227"/>
  </cols>
  <sheetData>
    <row r="1" spans="1:29" ht="18.350000000000001">
      <c r="A1" s="226" t="s">
        <v>244</v>
      </c>
      <c r="B1" s="226" t="s">
        <v>3</v>
      </c>
      <c r="C1" s="226" t="s">
        <v>15</v>
      </c>
      <c r="D1" s="226" t="s">
        <v>16</v>
      </c>
      <c r="E1" s="226" t="s">
        <v>17</v>
      </c>
      <c r="F1" s="226" t="s">
        <v>18</v>
      </c>
      <c r="G1" s="226" t="s">
        <v>19</v>
      </c>
      <c r="H1" s="226" t="s">
        <v>20</v>
      </c>
      <c r="I1" s="226" t="s">
        <v>21</v>
      </c>
      <c r="J1" s="226" t="s">
        <v>34</v>
      </c>
      <c r="K1" s="226" t="s">
        <v>37</v>
      </c>
      <c r="L1" s="226" t="s">
        <v>52</v>
      </c>
      <c r="M1" s="226" t="s">
        <v>53</v>
      </c>
      <c r="N1" s="226" t="s">
        <v>54</v>
      </c>
      <c r="O1" s="226" t="s">
        <v>427</v>
      </c>
      <c r="P1" s="226" t="s">
        <v>428</v>
      </c>
      <c r="Q1" s="226" t="s">
        <v>429</v>
      </c>
      <c r="R1" s="226" t="s">
        <v>238</v>
      </c>
      <c r="S1" s="226" t="s">
        <v>240</v>
      </c>
      <c r="T1" s="226" t="s">
        <v>239</v>
      </c>
      <c r="AA1" s="228"/>
      <c r="AB1" s="228"/>
      <c r="AC1" s="228"/>
    </row>
    <row r="2" spans="1:29" ht="15.05" customHeight="1">
      <c r="A2" s="226" t="s">
        <v>457</v>
      </c>
      <c r="B2" s="235">
        <v>75.5</v>
      </c>
      <c r="C2" s="235">
        <v>2.72</v>
      </c>
      <c r="D2" s="235">
        <v>1.52</v>
      </c>
      <c r="E2" s="235">
        <v>11.9</v>
      </c>
      <c r="F2" s="235">
        <v>0.34</v>
      </c>
      <c r="G2" s="235">
        <v>1.7</v>
      </c>
      <c r="H2" s="235">
        <v>9</v>
      </c>
      <c r="I2" s="235">
        <v>77</v>
      </c>
      <c r="J2" s="235">
        <v>0.01</v>
      </c>
      <c r="K2" s="235">
        <v>11.6</v>
      </c>
      <c r="L2" s="235">
        <v>0.42</v>
      </c>
      <c r="M2" s="226">
        <v>0.54</v>
      </c>
      <c r="N2" s="226">
        <v>1.7999999999999999E-2</v>
      </c>
      <c r="O2" s="235">
        <v>0</v>
      </c>
      <c r="P2" s="235">
        <v>0</v>
      </c>
      <c r="Q2" s="226"/>
      <c r="R2" s="229" t="s">
        <v>265</v>
      </c>
      <c r="S2" s="229" t="s">
        <v>222</v>
      </c>
      <c r="T2" s="229" t="str">
        <f>"
Flocon : la quantité crue est environ 3 fois moindre avant cuisson"</f>
        <v xml:space="preserve">
Flocon : la quantité crue est environ 3 fois moindre avant cuisson</v>
      </c>
      <c r="AA2" s="228"/>
      <c r="AB2" s="228"/>
      <c r="AC2" s="228"/>
    </row>
    <row r="3" spans="1:29" ht="15.05" customHeight="1">
      <c r="A3" s="226" t="s">
        <v>458</v>
      </c>
      <c r="B3" s="226">
        <v>128</v>
      </c>
      <c r="C3" s="226">
        <v>3</v>
      </c>
      <c r="D3" s="226">
        <v>0.7</v>
      </c>
      <c r="E3" s="226">
        <v>27</v>
      </c>
      <c r="F3" s="226">
        <v>0.34</v>
      </c>
      <c r="G3" s="226">
        <v>1</v>
      </c>
      <c r="H3" s="226">
        <v>5</v>
      </c>
      <c r="I3" s="226">
        <v>45</v>
      </c>
      <c r="J3" s="226">
        <v>0.01</v>
      </c>
      <c r="K3" s="226">
        <v>11.6</v>
      </c>
      <c r="L3" s="226">
        <v>2.08</v>
      </c>
      <c r="M3" s="226">
        <v>2.4</v>
      </c>
      <c r="N3" s="226">
        <v>9.6000000000000002E-2</v>
      </c>
      <c r="O3" s="226">
        <v>0</v>
      </c>
      <c r="P3" s="226">
        <v>0</v>
      </c>
      <c r="Q3" s="226"/>
      <c r="R3" s="229" t="s">
        <v>266</v>
      </c>
      <c r="S3" s="229" t="s">
        <v>222</v>
      </c>
      <c r="T3" s="229" t="str">
        <f>"
Flocon : la quantité crue est environ 3 fois moindre avant cuisson"</f>
        <v xml:space="preserve">
Flocon : la quantité crue est environ 3 fois moindre avant cuisson</v>
      </c>
      <c r="AA3" s="228"/>
      <c r="AB3" s="228"/>
      <c r="AC3" s="228"/>
    </row>
    <row r="4" spans="1:29" ht="15.05" customHeight="1">
      <c r="A4" s="226" t="s">
        <v>459</v>
      </c>
      <c r="B4" s="235">
        <v>62.8</v>
      </c>
      <c r="C4" s="235">
        <v>1.69</v>
      </c>
      <c r="D4" s="235">
        <v>0.15</v>
      </c>
      <c r="E4" s="235">
        <v>12.2</v>
      </c>
      <c r="F4" s="235">
        <v>0.99</v>
      </c>
      <c r="G4" s="235">
        <v>2.9</v>
      </c>
      <c r="H4" s="235">
        <v>32.5</v>
      </c>
      <c r="I4" s="235">
        <v>43</v>
      </c>
      <c r="J4" s="235">
        <v>7.9000000000000001E-2</v>
      </c>
      <c r="K4" s="235">
        <v>6.14</v>
      </c>
      <c r="L4" s="226">
        <v>0</v>
      </c>
      <c r="M4" s="226">
        <v>0</v>
      </c>
      <c r="N4" s="226">
        <v>0</v>
      </c>
      <c r="O4" s="235">
        <v>0</v>
      </c>
      <c r="P4" s="235">
        <v>0</v>
      </c>
      <c r="Q4" s="226"/>
      <c r="R4" s="229" t="s">
        <v>267</v>
      </c>
      <c r="S4" s="229" t="s">
        <v>203</v>
      </c>
      <c r="T4" s="229" t="str">
        <f>"
Patate douce : riche en oxalate, à limiter pour les chats sensibles du système urinaire (calculs par exemple)"</f>
        <v xml:space="preserve">
Patate douce : riche en oxalate, à limiter pour les chats sensibles du système urinaire (calculs par exemple)</v>
      </c>
      <c r="AA4" s="228"/>
      <c r="AB4" s="228"/>
      <c r="AC4" s="228"/>
    </row>
    <row r="5" spans="1:29" ht="15.05" customHeight="1">
      <c r="A5" s="226" t="s">
        <v>460</v>
      </c>
      <c r="B5" s="235">
        <v>134</v>
      </c>
      <c r="C5" s="235">
        <v>4.9400000000000004</v>
      </c>
      <c r="D5" s="235">
        <v>2</v>
      </c>
      <c r="E5" s="235">
        <v>23</v>
      </c>
      <c r="F5" s="235">
        <v>0.3</v>
      </c>
      <c r="G5" s="235">
        <v>2</v>
      </c>
      <c r="H5" s="235">
        <v>23</v>
      </c>
      <c r="I5" s="235">
        <v>68</v>
      </c>
      <c r="J5" s="226">
        <v>0.01</v>
      </c>
      <c r="K5" s="235">
        <v>19.7</v>
      </c>
      <c r="L5" s="235">
        <v>0.57999999999999996</v>
      </c>
      <c r="M5" s="226">
        <v>0.52600000000000002</v>
      </c>
      <c r="N5" s="226">
        <v>4.5000000000000005E-2</v>
      </c>
      <c r="O5" s="226">
        <v>0.01</v>
      </c>
      <c r="P5" s="226">
        <v>0.01</v>
      </c>
      <c r="Q5" s="226"/>
      <c r="R5" s="229" t="s">
        <v>268</v>
      </c>
      <c r="S5" s="229" t="s">
        <v>204</v>
      </c>
      <c r="T5" s="229" t="str">
        <f>"
Pâtes : la quantité crue est environ 3 fois moindre avant cuisson"</f>
        <v xml:space="preserve">
Pâtes : la quantité crue est environ 3 fois moindre avant cuisson</v>
      </c>
      <c r="AA5" s="230"/>
      <c r="AB5" s="230"/>
      <c r="AC5" s="230"/>
    </row>
    <row r="6" spans="1:29" ht="15.05" customHeight="1">
      <c r="A6" s="226" t="s">
        <v>461</v>
      </c>
      <c r="B6" s="235">
        <v>126</v>
      </c>
      <c r="C6" s="235">
        <v>4.38</v>
      </c>
      <c r="D6" s="235">
        <v>0.55000000000000004</v>
      </c>
      <c r="E6" s="235">
        <v>25</v>
      </c>
      <c r="F6" s="235">
        <v>0.23</v>
      </c>
      <c r="G6" s="235">
        <v>1.9</v>
      </c>
      <c r="H6" s="235">
        <v>17</v>
      </c>
      <c r="I6" s="235">
        <v>59</v>
      </c>
      <c r="J6" s="226">
        <v>0.01</v>
      </c>
      <c r="K6" s="235">
        <v>21.7</v>
      </c>
      <c r="L6" s="226">
        <v>0.01</v>
      </c>
      <c r="M6" s="226">
        <v>0.02</v>
      </c>
      <c r="N6" s="226">
        <v>0.03</v>
      </c>
      <c r="O6" s="226">
        <v>0.01</v>
      </c>
      <c r="P6" s="226">
        <v>0.01</v>
      </c>
      <c r="Q6" s="226"/>
      <c r="R6" s="229" t="s">
        <v>269</v>
      </c>
      <c r="S6" s="229" t="s">
        <v>204</v>
      </c>
      <c r="T6" s="229" t="str">
        <f>"
Pâtes : la quantité crue est environ 3 fois moindre avant cuisson"</f>
        <v xml:space="preserve">
Pâtes : la quantité crue est environ 3 fois moindre avant cuisson</v>
      </c>
      <c r="AA6" s="230"/>
      <c r="AB6" s="230"/>
      <c r="AC6" s="230"/>
    </row>
    <row r="7" spans="1:29" ht="15.05" customHeight="1">
      <c r="A7" s="226" t="s">
        <v>462</v>
      </c>
      <c r="B7" s="235">
        <v>80.5</v>
      </c>
      <c r="C7" s="235">
        <v>1.8</v>
      </c>
      <c r="D7" s="235">
        <v>0.34</v>
      </c>
      <c r="E7" s="235">
        <v>16.7</v>
      </c>
      <c r="F7" s="235">
        <v>0.96</v>
      </c>
      <c r="G7" s="235">
        <v>1.8</v>
      </c>
      <c r="H7" s="235">
        <v>5.83</v>
      </c>
      <c r="I7" s="235">
        <v>37.200000000000003</v>
      </c>
      <c r="J7" s="235">
        <v>5.1999999999999998E-2</v>
      </c>
      <c r="K7" s="235">
        <v>15.8</v>
      </c>
      <c r="L7" s="235">
        <v>2E-3</v>
      </c>
      <c r="M7" s="226">
        <v>3.2000000000000001E-2</v>
      </c>
      <c r="N7" s="226">
        <v>1.0999999999999999E-2</v>
      </c>
      <c r="O7" s="235">
        <v>0</v>
      </c>
      <c r="P7" s="235">
        <v>0</v>
      </c>
      <c r="Q7" s="226"/>
      <c r="R7" s="229" t="s">
        <v>270</v>
      </c>
      <c r="S7" s="229" t="s">
        <v>203</v>
      </c>
      <c r="T7" s="229" t="s">
        <v>245</v>
      </c>
      <c r="AA7" s="230"/>
      <c r="AB7" s="230" t="s">
        <v>224</v>
      </c>
      <c r="AC7" s="230"/>
    </row>
    <row r="8" spans="1:29" ht="15.05" customHeight="1">
      <c r="A8" s="226" t="s">
        <v>463</v>
      </c>
      <c r="B8" s="226">
        <v>67.3</v>
      </c>
      <c r="C8" s="226">
        <v>2.5</v>
      </c>
      <c r="D8" s="226">
        <v>0.53</v>
      </c>
      <c r="E8" s="226">
        <v>12.1</v>
      </c>
      <c r="F8" s="226">
        <v>0.73</v>
      </c>
      <c r="G8" s="226">
        <v>1.8</v>
      </c>
      <c r="H8" s="226">
        <v>6</v>
      </c>
      <c r="I8" s="226">
        <v>40</v>
      </c>
      <c r="J8" s="226">
        <v>8.7999999999999995E-2</v>
      </c>
      <c r="K8" s="226">
        <v>9.8000000000000007</v>
      </c>
      <c r="L8" s="226">
        <v>1.6E-2</v>
      </c>
      <c r="M8" s="226">
        <v>1.2E-2</v>
      </c>
      <c r="N8" s="226">
        <v>3.5999999999999999E-3</v>
      </c>
      <c r="O8" s="226">
        <v>0</v>
      </c>
      <c r="P8" s="226">
        <v>0</v>
      </c>
      <c r="Q8" s="226"/>
      <c r="R8" s="229" t="s">
        <v>271</v>
      </c>
      <c r="S8" s="229" t="s">
        <v>205</v>
      </c>
      <c r="T8" s="229" t="s">
        <v>245</v>
      </c>
      <c r="AA8" s="230"/>
      <c r="AB8" s="230"/>
      <c r="AC8" s="230"/>
    </row>
    <row r="9" spans="1:29" ht="15.05" customHeight="1">
      <c r="A9" s="226" t="s">
        <v>464</v>
      </c>
      <c r="B9" s="235">
        <v>145</v>
      </c>
      <c r="C9" s="235">
        <v>3.06</v>
      </c>
      <c r="D9" s="235">
        <v>0.41</v>
      </c>
      <c r="E9" s="235">
        <v>31.8</v>
      </c>
      <c r="F9" s="235">
        <v>0.13</v>
      </c>
      <c r="G9" s="235">
        <v>0.8</v>
      </c>
      <c r="H9" s="235">
        <v>14</v>
      </c>
      <c r="I9" s="235">
        <v>35</v>
      </c>
      <c r="J9" s="226">
        <v>0.01</v>
      </c>
      <c r="K9" s="235">
        <v>27.7</v>
      </c>
      <c r="L9" s="226">
        <v>0.01</v>
      </c>
      <c r="M9" s="226">
        <v>0.02</v>
      </c>
      <c r="N9" s="226">
        <v>0.03</v>
      </c>
      <c r="O9" s="226">
        <v>0.01</v>
      </c>
      <c r="P9" s="226">
        <v>0.01</v>
      </c>
      <c r="Q9" s="226"/>
      <c r="R9" s="229" t="s">
        <v>272</v>
      </c>
      <c r="S9" s="229" t="s">
        <v>204</v>
      </c>
      <c r="T9" s="229" t="str">
        <f>"
Riz : la quantité crue est environ 3 fois moindre avant cuisson"</f>
        <v xml:space="preserve">
Riz : la quantité crue est environ 3 fois moindre avant cuisson</v>
      </c>
      <c r="AA9" s="230"/>
      <c r="AB9" s="230" t="s">
        <v>225</v>
      </c>
      <c r="AC9" s="230"/>
    </row>
    <row r="10" spans="1:29" ht="15.05" customHeight="1">
      <c r="A10" s="226" t="s">
        <v>465</v>
      </c>
      <c r="B10" s="226">
        <v>128.9</v>
      </c>
      <c r="C10" s="226">
        <v>6.9199999999999998E-2</v>
      </c>
      <c r="D10" s="226">
        <v>7.3000000000000001E-3</v>
      </c>
      <c r="E10" s="226">
        <v>31.970099999999999</v>
      </c>
      <c r="F10" s="226">
        <v>2.9100000000000001E-2</v>
      </c>
      <c r="G10" s="226">
        <v>0.32769999999999999</v>
      </c>
      <c r="H10" s="226">
        <v>7.2824999999999998</v>
      </c>
      <c r="I10" s="226">
        <v>2.5489000000000002</v>
      </c>
      <c r="J10" s="226">
        <v>0</v>
      </c>
      <c r="K10" s="226">
        <v>28.5</v>
      </c>
      <c r="L10" s="226">
        <v>2.08</v>
      </c>
      <c r="M10" s="226">
        <v>2.4</v>
      </c>
      <c r="N10" s="226">
        <v>9.6000000000000002E-2</v>
      </c>
      <c r="O10" s="226">
        <v>0</v>
      </c>
      <c r="P10" s="226">
        <v>0</v>
      </c>
      <c r="Q10" s="226"/>
      <c r="R10" s="229" t="s">
        <v>273</v>
      </c>
      <c r="S10" s="229" t="s">
        <v>222</v>
      </c>
      <c r="T10" s="229" t="str">
        <f>"
Tapioca : la quantité crue est environ 3 fois moindre avant cuisson"</f>
        <v xml:space="preserve">
Tapioca : la quantité crue est environ 3 fois moindre avant cuisson</v>
      </c>
      <c r="AA10" s="230"/>
      <c r="AB10" s="230"/>
      <c r="AC10" s="230"/>
    </row>
    <row r="11" spans="1:29" ht="15.05" customHeight="1">
      <c r="A11" s="226" t="s">
        <v>316</v>
      </c>
      <c r="B11" s="226">
        <v>90</v>
      </c>
      <c r="C11" s="226">
        <v>0.98</v>
      </c>
      <c r="D11" s="226">
        <v>0.25</v>
      </c>
      <c r="E11" s="226">
        <v>19.600000000000001</v>
      </c>
      <c r="F11" s="226">
        <v>0.97</v>
      </c>
      <c r="G11" s="226">
        <v>1.9</v>
      </c>
      <c r="H11" s="226">
        <v>4.12</v>
      </c>
      <c r="I11" s="226">
        <v>24.7</v>
      </c>
      <c r="J11" s="226">
        <v>3.8E-3</v>
      </c>
      <c r="K11" s="226">
        <v>2.1</v>
      </c>
      <c r="L11" s="226">
        <v>2.5999999999999999E-2</v>
      </c>
      <c r="M11" s="226">
        <v>3.2000000000000001E-2</v>
      </c>
      <c r="N11" s="226">
        <v>3.5000000000000003E-2</v>
      </c>
      <c r="O11" s="226">
        <v>0</v>
      </c>
      <c r="P11" s="226">
        <v>0</v>
      </c>
      <c r="Q11" s="226"/>
      <c r="R11" s="229" t="s">
        <v>317</v>
      </c>
      <c r="S11" s="229" t="s">
        <v>223</v>
      </c>
      <c r="T11" s="229" t="str">
        <f>"
Banane : très sucrée, à ne pas donner tous les jours"</f>
        <v xml:space="preserve">
Banane : très sucrée, à ne pas donner tous les jours</v>
      </c>
      <c r="AA11" s="230"/>
      <c r="AB11" s="230" t="s">
        <v>226</v>
      </c>
      <c r="AC11" s="230"/>
    </row>
    <row r="12" spans="1:29" ht="15.05" customHeight="1">
      <c r="A12" s="226" t="s">
        <v>466</v>
      </c>
      <c r="B12" s="235">
        <v>125</v>
      </c>
      <c r="C12" s="235">
        <v>0.79</v>
      </c>
      <c r="D12" s="235">
        <v>0.18</v>
      </c>
      <c r="E12" s="235">
        <v>28.9</v>
      </c>
      <c r="F12" s="235">
        <v>0.57999999999999996</v>
      </c>
      <c r="G12" s="235">
        <v>2.2999999999999998</v>
      </c>
      <c r="H12" s="235">
        <v>2</v>
      </c>
      <c r="I12" s="235">
        <v>28</v>
      </c>
      <c r="J12" s="235">
        <v>1.2999999999999999E-2</v>
      </c>
      <c r="K12" s="226">
        <v>24</v>
      </c>
      <c r="L12" s="226">
        <v>0</v>
      </c>
      <c r="M12" s="226">
        <v>0</v>
      </c>
      <c r="N12" s="226">
        <v>0</v>
      </c>
      <c r="O12" s="226">
        <v>0</v>
      </c>
      <c r="P12" s="226">
        <v>0</v>
      </c>
      <c r="Q12" s="226"/>
      <c r="R12" s="229" t="s">
        <v>274</v>
      </c>
      <c r="S12" s="229" t="s">
        <v>206</v>
      </c>
      <c r="T12" s="229" t="str">
        <f>"
Banane plantain : très sucrée, à ne pas donner tous les jours"</f>
        <v xml:space="preserve">
Banane plantain : très sucrée, à ne pas donner tous les jours</v>
      </c>
      <c r="AA12" s="230"/>
      <c r="AB12" s="230" t="s">
        <v>227</v>
      </c>
      <c r="AC12" s="230"/>
    </row>
    <row r="13" spans="1:29" ht="15.05" customHeight="1">
      <c r="A13" s="226" t="s">
        <v>467</v>
      </c>
      <c r="B13" s="235">
        <v>149</v>
      </c>
      <c r="C13" s="235">
        <v>5</v>
      </c>
      <c r="D13" s="235">
        <v>1.1000000000000001</v>
      </c>
      <c r="E13" s="235">
        <v>27.9</v>
      </c>
      <c r="F13" s="235">
        <v>0.93</v>
      </c>
      <c r="G13" s="235">
        <v>3.8</v>
      </c>
      <c r="H13" s="235">
        <v>23</v>
      </c>
      <c r="I13" s="235">
        <v>180</v>
      </c>
      <c r="J13" s="235">
        <v>1.4999999999999999E-2</v>
      </c>
      <c r="K13" s="235">
        <v>24.3</v>
      </c>
      <c r="L13" s="235">
        <v>0.28000000000000003</v>
      </c>
      <c r="M13" s="226">
        <v>0.5</v>
      </c>
      <c r="N13" s="226">
        <v>0.09</v>
      </c>
      <c r="O13" s="226">
        <v>0.01</v>
      </c>
      <c r="P13" s="226">
        <v>0.01</v>
      </c>
      <c r="Q13" s="226"/>
      <c r="R13" s="229" t="s">
        <v>275</v>
      </c>
      <c r="S13" s="229" t="s">
        <v>207</v>
      </c>
      <c r="T13" s="229" t="s">
        <v>245</v>
      </c>
      <c r="AA13" s="230"/>
      <c r="AB13" s="230" t="s">
        <v>228</v>
      </c>
      <c r="AC13" s="230"/>
    </row>
    <row r="14" spans="1:29" ht="15.05" customHeight="1">
      <c r="A14" s="226"/>
      <c r="B14" s="226"/>
      <c r="C14" s="226"/>
      <c r="D14" s="226"/>
      <c r="E14" s="226"/>
      <c r="F14" s="226"/>
      <c r="G14" s="226"/>
      <c r="H14" s="226"/>
      <c r="I14" s="226"/>
      <c r="J14" s="226"/>
      <c r="K14" s="226"/>
      <c r="L14" s="226"/>
      <c r="M14" s="226"/>
      <c r="N14" s="226"/>
      <c r="O14" s="226"/>
      <c r="P14" s="226"/>
      <c r="Q14" s="226"/>
      <c r="R14" s="229"/>
      <c r="S14" s="229"/>
      <c r="T14" s="229"/>
      <c r="AA14" s="230"/>
      <c r="AB14" s="230"/>
      <c r="AC14" s="230"/>
    </row>
    <row r="15" spans="1:29" ht="15.05" customHeight="1">
      <c r="A15" s="226"/>
      <c r="B15" s="226"/>
      <c r="C15" s="226"/>
      <c r="D15" s="226"/>
      <c r="E15" s="226"/>
      <c r="F15" s="226"/>
      <c r="G15" s="226"/>
      <c r="H15" s="226"/>
      <c r="I15" s="226"/>
      <c r="J15" s="226"/>
      <c r="K15" s="226"/>
      <c r="L15" s="226"/>
      <c r="M15" s="226"/>
      <c r="N15" s="226"/>
      <c r="O15" s="226"/>
      <c r="P15" s="226"/>
      <c r="Q15" s="226"/>
      <c r="R15" s="229"/>
      <c r="S15" s="229"/>
      <c r="T15" s="229"/>
      <c r="AA15" s="230"/>
      <c r="AB15" s="230" t="s">
        <v>229</v>
      </c>
      <c r="AC15" s="230"/>
    </row>
    <row r="16" spans="1:29" ht="15.05" customHeight="1">
      <c r="A16" s="226"/>
      <c r="B16" s="226"/>
      <c r="C16" s="226"/>
      <c r="D16" s="226"/>
      <c r="E16" s="226"/>
      <c r="F16" s="226"/>
      <c r="G16" s="226"/>
      <c r="H16" s="226"/>
      <c r="I16" s="226"/>
      <c r="J16" s="226"/>
      <c r="K16" s="226"/>
      <c r="L16" s="226"/>
      <c r="M16" s="226"/>
      <c r="N16" s="226"/>
      <c r="O16" s="226"/>
      <c r="Q16" s="226"/>
      <c r="R16" s="229"/>
      <c r="S16" s="229"/>
      <c r="T16" s="229"/>
      <c r="AA16" s="230"/>
      <c r="AB16" s="230"/>
      <c r="AC16" s="230"/>
    </row>
    <row r="17" spans="1:29" ht="15.05" customHeight="1">
      <c r="A17" s="226"/>
      <c r="B17" s="226"/>
      <c r="C17" s="226"/>
      <c r="D17" s="226"/>
      <c r="E17" s="226"/>
      <c r="F17" s="226"/>
      <c r="G17" s="226"/>
      <c r="H17" s="226"/>
      <c r="I17" s="226"/>
      <c r="J17" s="226"/>
      <c r="K17" s="226"/>
      <c r="L17" s="226"/>
      <c r="M17" s="226"/>
      <c r="N17" s="226"/>
      <c r="O17" s="226"/>
      <c r="P17" s="226"/>
      <c r="Q17" s="226"/>
      <c r="R17" s="229"/>
      <c r="S17" s="229"/>
      <c r="T17" s="229"/>
      <c r="AA17" s="230"/>
      <c r="AB17" s="230"/>
      <c r="AC17" s="230"/>
    </row>
    <row r="18" spans="1:29" ht="15.05" customHeight="1">
      <c r="A18" s="226"/>
      <c r="B18" s="226"/>
      <c r="C18" s="226"/>
      <c r="D18" s="226"/>
      <c r="E18" s="226"/>
      <c r="F18" s="226"/>
      <c r="G18" s="226"/>
      <c r="H18" s="226"/>
      <c r="I18" s="226"/>
      <c r="J18" s="226"/>
      <c r="K18" s="226"/>
      <c r="L18" s="226"/>
      <c r="M18" s="226"/>
      <c r="N18" s="226"/>
      <c r="O18" s="226"/>
      <c r="P18" s="226"/>
      <c r="Q18" s="226"/>
      <c r="R18" s="229"/>
      <c r="S18" s="229"/>
      <c r="T18" s="229"/>
      <c r="AA18" s="233"/>
      <c r="AB18" s="233"/>
      <c r="AC18" s="233"/>
    </row>
    <row r="19" spans="1:29" ht="15.05" customHeight="1">
      <c r="E19" s="238"/>
      <c r="F19" s="231" t="s">
        <v>709</v>
      </c>
      <c r="G19" s="231"/>
      <c r="H19" s="226"/>
      <c r="I19" s="226" t="s">
        <v>886</v>
      </c>
      <c r="R19" s="229"/>
      <c r="S19" s="229"/>
      <c r="T19" s="229"/>
      <c r="AA19" s="233"/>
      <c r="AB19" s="233"/>
      <c r="AC19" s="233"/>
    </row>
    <row r="20" spans="1:29" ht="15.05" customHeight="1">
      <c r="E20" s="238"/>
      <c r="F20" s="238"/>
      <c r="G20" s="238"/>
      <c r="I20" s="232">
        <v>45457</v>
      </c>
      <c r="R20" s="229"/>
      <c r="S20" s="229"/>
      <c r="T20" s="229"/>
      <c r="AA20" s="233"/>
      <c r="AB20" s="233"/>
      <c r="AC20" s="233"/>
    </row>
    <row r="21" spans="1:29" ht="15.05" customHeight="1">
      <c r="R21" s="229"/>
      <c r="S21" s="229"/>
      <c r="T21" s="229"/>
      <c r="AA21" s="233"/>
      <c r="AB21" s="233"/>
      <c r="AC21" s="233"/>
    </row>
    <row r="22" spans="1:29" ht="15.05" customHeight="1">
      <c r="R22" s="229"/>
      <c r="S22" s="229"/>
      <c r="T22" s="229"/>
      <c r="AA22" s="233"/>
      <c r="AB22" s="233"/>
      <c r="AC22" s="233"/>
    </row>
    <row r="23" spans="1:29" ht="15.05" customHeight="1">
      <c r="R23" s="229"/>
      <c r="S23" s="229"/>
      <c r="T23" s="229"/>
      <c r="AA23" s="233"/>
      <c r="AB23" s="233"/>
      <c r="AC23" s="233"/>
    </row>
    <row r="24" spans="1:29" ht="15.05" customHeight="1">
      <c r="R24" s="229"/>
      <c r="S24" s="229"/>
      <c r="T24" s="229"/>
      <c r="AA24" s="233"/>
      <c r="AB24" s="233"/>
      <c r="AC24" s="233"/>
    </row>
    <row r="25" spans="1:29" ht="15.05" customHeight="1">
      <c r="R25" s="229"/>
      <c r="S25" s="229"/>
      <c r="T25" s="229"/>
      <c r="AA25" s="233"/>
      <c r="AB25" s="233"/>
      <c r="AC25" s="233"/>
    </row>
    <row r="26" spans="1:29" ht="15.05" customHeight="1">
      <c r="R26" s="229"/>
      <c r="S26" s="229"/>
      <c r="T26" s="229"/>
      <c r="AA26" s="233"/>
      <c r="AB26" s="233"/>
      <c r="AC26" s="233"/>
    </row>
    <row r="27" spans="1:29" ht="15.05" customHeight="1">
      <c r="R27" s="229"/>
      <c r="S27" s="229"/>
      <c r="T27" s="229"/>
      <c r="AA27" s="233"/>
      <c r="AB27" s="233"/>
      <c r="AC27" s="233"/>
    </row>
    <row r="28" spans="1:29" ht="15.05" customHeight="1">
      <c r="AA28" s="233"/>
      <c r="AB28" s="233"/>
      <c r="AC28" s="233"/>
    </row>
    <row r="29" spans="1:29" ht="15.05" customHeight="1">
      <c r="AA29" s="233"/>
      <c r="AB29" s="233"/>
      <c r="AC29" s="233"/>
    </row>
    <row r="30" spans="1:29" ht="15.05" customHeight="1">
      <c r="AA30" s="233"/>
      <c r="AB30" s="233"/>
      <c r="AC30" s="233"/>
    </row>
    <row r="31" spans="1:29" ht="15.05" customHeight="1">
      <c r="AA31" s="233"/>
      <c r="AB31" s="233"/>
      <c r="AC31" s="233"/>
    </row>
    <row r="32" spans="1:29" ht="15.05" customHeight="1">
      <c r="AA32" s="233"/>
      <c r="AB32" s="233"/>
      <c r="AC32" s="233"/>
    </row>
    <row r="33" spans="27:29" ht="15.05" customHeight="1">
      <c r="AA33" s="233"/>
      <c r="AB33" s="233"/>
      <c r="AC33" s="233"/>
    </row>
    <row r="34" spans="27:29" ht="15.05" customHeight="1">
      <c r="AA34" s="233"/>
      <c r="AB34" s="233"/>
      <c r="AC34" s="233"/>
    </row>
    <row r="35" spans="27:29" ht="15.05" customHeight="1">
      <c r="AA35" s="233"/>
      <c r="AB35" s="233"/>
      <c r="AC35" s="233"/>
    </row>
    <row r="36" spans="27:29" ht="15.05" customHeight="1"/>
    <row r="37" spans="27:29" ht="15.05" customHeight="1"/>
    <row r="38" spans="27:29" ht="15.05" customHeight="1"/>
    <row r="39" spans="27:29" ht="15.05" customHeight="1"/>
    <row r="40" spans="27:29" ht="15.05" customHeight="1"/>
    <row r="41" spans="27:29" ht="15.05" customHeight="1"/>
    <row r="42" spans="27:29" ht="15.05" customHeight="1"/>
  </sheetData>
  <sheetProtection algorithmName="SHA-512" hashValue="2Ii7Sd7lFJuvnHCnzM6AOVB4KHJNho0NaaO9mh9q9BsV7cN+oJITfMNE+iREdfKYS0OB3KBP3grc4VZnw40Hbg==" saltValue="E2pWFo44BRZ1t1eO3kSYrA==" spinCount="100000" sheet="1" objects="1" scenarios="1" selectLockedCells="1" selectUnlockedCells="1"/>
  <mergeCells count="2">
    <mergeCell ref="E19:E20"/>
    <mergeCell ref="F19:G20"/>
  </mergeCells>
  <pageMargins left="0.7" right="0.7" top="0.75" bottom="0.75" header="0.3" footer="0.3"/>
  <pageSetup paperSize="9" orientation="portrait" r:id="rId1"/>
  <ignoredErrors>
    <ignoredError sqref="B16:Q19 B21:Q25 B20:H20 J20:Q20 Q2:Q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D0052-5D95-42B8-82E0-3F731B90C448}">
  <dimension ref="A1:AC104"/>
  <sheetViews>
    <sheetView zoomScaleNormal="100" workbookViewId="0">
      <selection sqref="A1:IV65536"/>
    </sheetView>
  </sheetViews>
  <sheetFormatPr baseColWidth="10" defaultRowHeight="15.05"/>
  <cols>
    <col min="1" max="1" width="30.6640625" style="227" customWidth="1"/>
    <col min="2" max="6" width="11.5546875" style="227"/>
    <col min="7" max="7" width="11.5546875" style="227" customWidth="1"/>
    <col min="8" max="17" width="11.5546875" style="227"/>
    <col min="18" max="19" width="40.6640625" style="227" customWidth="1"/>
    <col min="20" max="20" width="60.6640625" style="227" customWidth="1"/>
    <col min="21" max="25" width="20.6640625" style="227" customWidth="1"/>
    <col min="26" max="16384" width="11.5546875" style="227"/>
  </cols>
  <sheetData>
    <row r="1" spans="1:29" ht="19" customHeight="1">
      <c r="A1" s="226" t="s">
        <v>969</v>
      </c>
      <c r="B1" s="226" t="s">
        <v>3</v>
      </c>
      <c r="C1" s="226" t="s">
        <v>15</v>
      </c>
      <c r="D1" s="226" t="s">
        <v>16</v>
      </c>
      <c r="E1" s="226" t="s">
        <v>17</v>
      </c>
      <c r="F1" s="226" t="s">
        <v>18</v>
      </c>
      <c r="G1" s="226" t="s">
        <v>19</v>
      </c>
      <c r="H1" s="226" t="s">
        <v>20</v>
      </c>
      <c r="I1" s="226" t="s">
        <v>21</v>
      </c>
      <c r="J1" s="226" t="s">
        <v>34</v>
      </c>
      <c r="K1" s="226" t="s">
        <v>37</v>
      </c>
      <c r="L1" s="226" t="s">
        <v>52</v>
      </c>
      <c r="M1" s="226" t="s">
        <v>53</v>
      </c>
      <c r="N1" s="226" t="s">
        <v>54</v>
      </c>
      <c r="O1" s="226" t="s">
        <v>427</v>
      </c>
      <c r="P1" s="226" t="s">
        <v>428</v>
      </c>
      <c r="Q1" s="226" t="s">
        <v>429</v>
      </c>
      <c r="R1" s="226" t="s">
        <v>238</v>
      </c>
      <c r="S1" s="226" t="s">
        <v>240</v>
      </c>
      <c r="T1" s="226" t="s">
        <v>239</v>
      </c>
      <c r="U1" s="234" t="s">
        <v>400</v>
      </c>
      <c r="V1" s="234" t="s">
        <v>400</v>
      </c>
      <c r="W1" s="234" t="s">
        <v>399</v>
      </c>
      <c r="X1" s="234" t="s">
        <v>398</v>
      </c>
      <c r="Y1" s="234" t="s">
        <v>10</v>
      </c>
      <c r="AA1" s="228"/>
      <c r="AB1" s="228"/>
      <c r="AC1" s="228"/>
    </row>
    <row r="2" spans="1:29" ht="15.05" customHeight="1">
      <c r="A2" s="226" t="s">
        <v>959</v>
      </c>
      <c r="B2" s="235">
        <v>139</v>
      </c>
      <c r="C2" s="235">
        <v>19.600000000000001</v>
      </c>
      <c r="D2" s="235">
        <v>6.76</v>
      </c>
      <c r="E2" s="235">
        <v>0</v>
      </c>
      <c r="F2" s="235">
        <v>1.04</v>
      </c>
      <c r="G2" s="235">
        <v>0</v>
      </c>
      <c r="H2" s="235">
        <v>15</v>
      </c>
      <c r="I2" s="235">
        <v>184</v>
      </c>
      <c r="J2" s="235">
        <v>0.18</v>
      </c>
      <c r="K2" s="226">
        <v>0</v>
      </c>
      <c r="L2" s="235">
        <v>4.04</v>
      </c>
      <c r="M2" s="226">
        <v>0.36700000000000005</v>
      </c>
      <c r="N2" s="226">
        <v>6.3E-2</v>
      </c>
      <c r="O2" s="235">
        <v>5.0000000000000001E-3</v>
      </c>
      <c r="P2" s="226">
        <v>1E-3</v>
      </c>
      <c r="Q2" s="226"/>
      <c r="R2" s="229" t="s">
        <v>960</v>
      </c>
      <c r="S2" s="229" t="s">
        <v>217</v>
      </c>
      <c r="T2" s="229"/>
      <c r="U2" s="226">
        <v>1</v>
      </c>
      <c r="V2" s="226">
        <v>1</v>
      </c>
      <c r="W2" s="226">
        <v>1</v>
      </c>
      <c r="X2" s="226">
        <v>1</v>
      </c>
      <c r="Y2" s="226">
        <v>1</v>
      </c>
      <c r="AA2" s="228"/>
      <c r="AB2" s="228"/>
      <c r="AC2" s="228"/>
    </row>
    <row r="3" spans="1:29" ht="15.05" customHeight="1">
      <c r="A3" s="226" t="s">
        <v>961</v>
      </c>
      <c r="B3" s="235">
        <v>197</v>
      </c>
      <c r="C3" s="235">
        <v>24.9</v>
      </c>
      <c r="D3" s="235">
        <v>10.8</v>
      </c>
      <c r="E3" s="235">
        <v>0</v>
      </c>
      <c r="F3" s="235">
        <v>1.33</v>
      </c>
      <c r="G3" s="235">
        <v>0</v>
      </c>
      <c r="H3" s="235">
        <v>19</v>
      </c>
      <c r="I3" s="235">
        <v>200</v>
      </c>
      <c r="J3" s="235">
        <v>0.17</v>
      </c>
      <c r="K3" s="226">
        <v>0</v>
      </c>
      <c r="L3" s="226">
        <v>4.7300000000000004</v>
      </c>
      <c r="M3" s="226">
        <v>0.31</v>
      </c>
      <c r="N3" s="226">
        <v>0.31</v>
      </c>
      <c r="O3" s="226">
        <v>0</v>
      </c>
      <c r="P3" s="226">
        <v>5.7000000000000002E-3</v>
      </c>
      <c r="Q3" s="226"/>
      <c r="R3" s="229" t="s">
        <v>962</v>
      </c>
      <c r="S3" s="229" t="s">
        <v>217</v>
      </c>
      <c r="T3" s="229"/>
      <c r="U3" s="226">
        <v>1</v>
      </c>
      <c r="V3" s="226">
        <v>1</v>
      </c>
      <c r="W3" s="226">
        <v>1</v>
      </c>
      <c r="X3" s="226">
        <v>1</v>
      </c>
      <c r="Y3" s="226">
        <v>1</v>
      </c>
      <c r="AA3" s="228"/>
      <c r="AB3" s="228"/>
      <c r="AC3" s="228"/>
    </row>
    <row r="4" spans="1:29" ht="15.05" customHeight="1">
      <c r="A4" s="226" t="s">
        <v>977</v>
      </c>
      <c r="B4" s="235">
        <v>152</v>
      </c>
      <c r="C4" s="235">
        <v>22.3</v>
      </c>
      <c r="D4" s="235">
        <v>6.74</v>
      </c>
      <c r="E4" s="235">
        <v>0.6</v>
      </c>
      <c r="F4" s="235">
        <v>1.04</v>
      </c>
      <c r="G4" s="235">
        <v>0</v>
      </c>
      <c r="H4" s="235">
        <v>9.2799999999999994</v>
      </c>
      <c r="I4" s="235">
        <v>189</v>
      </c>
      <c r="J4" s="235">
        <v>8.2000000000000003E-2</v>
      </c>
      <c r="K4" s="226">
        <v>0</v>
      </c>
      <c r="L4" s="226">
        <v>2.59</v>
      </c>
      <c r="M4" s="226">
        <v>0.14799999999999999</v>
      </c>
      <c r="N4" s="226">
        <v>3.4300000000000004E-2</v>
      </c>
      <c r="O4" s="226">
        <v>3.0000000000000001E-3</v>
      </c>
      <c r="P4" s="226">
        <v>1.2999999999999999E-3</v>
      </c>
      <c r="Q4" s="226"/>
      <c r="R4" s="229" t="s">
        <v>276</v>
      </c>
      <c r="S4" s="229" t="s">
        <v>217</v>
      </c>
      <c r="T4" s="229"/>
      <c r="U4" s="226">
        <v>1</v>
      </c>
      <c r="V4" s="226">
        <v>1</v>
      </c>
      <c r="W4" s="226">
        <v>1</v>
      </c>
      <c r="X4" s="226">
        <v>1</v>
      </c>
      <c r="Y4" s="226">
        <v>1</v>
      </c>
      <c r="AA4" s="228"/>
      <c r="AB4" s="228"/>
      <c r="AC4" s="228"/>
    </row>
    <row r="5" spans="1:29" ht="15.05" customHeight="1">
      <c r="A5" s="226" t="s">
        <v>978</v>
      </c>
      <c r="B5" s="235">
        <v>182</v>
      </c>
      <c r="C5" s="235">
        <v>27.1</v>
      </c>
      <c r="D5" s="235">
        <v>8.17</v>
      </c>
      <c r="E5" s="235">
        <v>0</v>
      </c>
      <c r="F5" s="235">
        <v>1.1100000000000001</v>
      </c>
      <c r="G5" s="235">
        <v>0</v>
      </c>
      <c r="H5" s="235">
        <v>20</v>
      </c>
      <c r="I5" s="235">
        <v>209</v>
      </c>
      <c r="J5" s="235">
        <v>0.14000000000000001</v>
      </c>
      <c r="K5" s="226">
        <v>0</v>
      </c>
      <c r="L5" s="235">
        <v>2.59</v>
      </c>
      <c r="M5" s="226">
        <v>0.14799999999999999</v>
      </c>
      <c r="N5" s="226">
        <v>3.4300000000000004E-2</v>
      </c>
      <c r="O5" s="235">
        <v>3.0000000000000001E-3</v>
      </c>
      <c r="P5" s="235">
        <v>1.2999999999999999E-3</v>
      </c>
      <c r="Q5" s="226"/>
      <c r="R5" s="229" t="s">
        <v>277</v>
      </c>
      <c r="S5" s="229" t="s">
        <v>217</v>
      </c>
      <c r="T5" s="229"/>
      <c r="U5" s="226">
        <v>1</v>
      </c>
      <c r="V5" s="226">
        <v>1</v>
      </c>
      <c r="W5" s="226">
        <v>1</v>
      </c>
      <c r="X5" s="226">
        <v>1</v>
      </c>
      <c r="Y5" s="226">
        <v>1</v>
      </c>
      <c r="AA5" s="230"/>
      <c r="AB5" s="230"/>
      <c r="AC5" s="230"/>
    </row>
    <row r="6" spans="1:29" ht="15.05" customHeight="1">
      <c r="A6" s="226" t="s">
        <v>979</v>
      </c>
      <c r="B6" s="235">
        <v>114</v>
      </c>
      <c r="C6" s="235">
        <v>22.5</v>
      </c>
      <c r="D6" s="235">
        <v>2.5</v>
      </c>
      <c r="E6" s="235">
        <v>0.4</v>
      </c>
      <c r="F6" s="235">
        <v>1.06</v>
      </c>
      <c r="G6" s="235">
        <v>0</v>
      </c>
      <c r="H6" s="235">
        <v>7.33</v>
      </c>
      <c r="I6" s="235">
        <v>195</v>
      </c>
      <c r="J6" s="235">
        <v>0.13</v>
      </c>
      <c r="K6" s="226">
        <v>0</v>
      </c>
      <c r="L6" s="235">
        <v>0.86</v>
      </c>
      <c r="M6" s="226">
        <v>0.127</v>
      </c>
      <c r="N6" s="226">
        <v>3.2419999999999997E-2</v>
      </c>
      <c r="O6" s="235">
        <v>9.5E-4</v>
      </c>
      <c r="P6" s="235">
        <v>4.6999999999999999E-4</v>
      </c>
      <c r="Q6" s="226"/>
      <c r="R6" s="229" t="s">
        <v>278</v>
      </c>
      <c r="S6" s="229" t="s">
        <v>217</v>
      </c>
      <c r="T6" s="229"/>
      <c r="U6" s="226">
        <v>1</v>
      </c>
      <c r="V6" s="226">
        <v>1</v>
      </c>
      <c r="W6" s="226">
        <v>1</v>
      </c>
      <c r="X6" s="226">
        <v>1</v>
      </c>
      <c r="Y6" s="226">
        <v>1</v>
      </c>
      <c r="AA6" s="230"/>
      <c r="AB6" s="230"/>
      <c r="AC6" s="230"/>
    </row>
    <row r="7" spans="1:29" ht="15.05" customHeight="1">
      <c r="A7" s="226" t="s">
        <v>980</v>
      </c>
      <c r="B7" s="235">
        <v>123</v>
      </c>
      <c r="C7" s="235">
        <v>25</v>
      </c>
      <c r="D7" s="235">
        <v>2.5</v>
      </c>
      <c r="E7" s="226">
        <v>1E-3</v>
      </c>
      <c r="F7" s="226">
        <v>1.1599999999999999</v>
      </c>
      <c r="G7" s="226">
        <v>0</v>
      </c>
      <c r="H7" s="226">
        <v>7.5</v>
      </c>
      <c r="I7" s="226">
        <v>200</v>
      </c>
      <c r="J7" s="226">
        <v>0.15</v>
      </c>
      <c r="K7" s="226">
        <v>0</v>
      </c>
      <c r="L7" s="226">
        <v>0</v>
      </c>
      <c r="M7" s="226">
        <v>0.05</v>
      </c>
      <c r="N7" s="226">
        <v>0.01</v>
      </c>
      <c r="O7" s="226">
        <v>0</v>
      </c>
      <c r="P7" s="226">
        <v>0</v>
      </c>
      <c r="Q7" s="226"/>
      <c r="R7" s="229" t="s">
        <v>279</v>
      </c>
      <c r="S7" s="229" t="s">
        <v>217</v>
      </c>
      <c r="T7" s="229"/>
      <c r="U7" s="226">
        <v>1</v>
      </c>
      <c r="V7" s="226">
        <v>1</v>
      </c>
      <c r="W7" s="226">
        <v>1</v>
      </c>
      <c r="X7" s="226">
        <v>1</v>
      </c>
      <c r="Y7" s="226">
        <v>1</v>
      </c>
      <c r="AA7" s="230"/>
      <c r="AB7" s="230" t="s">
        <v>224</v>
      </c>
      <c r="AC7" s="230"/>
    </row>
    <row r="8" spans="1:29" ht="15.05" customHeight="1">
      <c r="A8" s="226" t="s">
        <v>468</v>
      </c>
      <c r="B8" s="235">
        <v>164</v>
      </c>
      <c r="C8" s="235">
        <v>24</v>
      </c>
      <c r="D8" s="235">
        <v>7.5</v>
      </c>
      <c r="E8" s="235">
        <v>0</v>
      </c>
      <c r="F8" s="235">
        <v>0.12</v>
      </c>
      <c r="G8" s="226">
        <v>0</v>
      </c>
      <c r="H8" s="226">
        <v>18</v>
      </c>
      <c r="I8" s="226">
        <v>170</v>
      </c>
      <c r="J8" s="226">
        <v>0.1</v>
      </c>
      <c r="K8" s="226">
        <v>0</v>
      </c>
      <c r="L8" s="226">
        <v>0</v>
      </c>
      <c r="M8" s="226">
        <v>0.2</v>
      </c>
      <c r="N8" s="226">
        <v>1.4999999999999999E-2</v>
      </c>
      <c r="O8" s="226">
        <v>2E-3</v>
      </c>
      <c r="P8" s="226">
        <v>7.0000000000000001E-3</v>
      </c>
      <c r="Q8" s="226"/>
      <c r="R8" s="229" t="s">
        <v>280</v>
      </c>
      <c r="S8" s="229" t="s">
        <v>217</v>
      </c>
      <c r="T8" s="229"/>
      <c r="U8" s="226">
        <v>1</v>
      </c>
      <c r="V8" s="226">
        <v>1</v>
      </c>
      <c r="W8" s="226">
        <v>1</v>
      </c>
      <c r="X8" s="226">
        <v>1</v>
      </c>
      <c r="Y8" s="226">
        <v>1</v>
      </c>
      <c r="AA8" s="230"/>
      <c r="AB8" s="230"/>
      <c r="AC8" s="230"/>
    </row>
    <row r="9" spans="1:29" ht="15.05" customHeight="1">
      <c r="A9" s="226" t="s">
        <v>469</v>
      </c>
      <c r="B9" s="235">
        <v>172</v>
      </c>
      <c r="C9" s="235">
        <v>34</v>
      </c>
      <c r="D9" s="235">
        <v>4.05</v>
      </c>
      <c r="E9" s="226">
        <v>1E-3</v>
      </c>
      <c r="F9" s="235">
        <v>0.78</v>
      </c>
      <c r="G9" s="226">
        <v>0</v>
      </c>
      <c r="H9" s="226">
        <v>18</v>
      </c>
      <c r="I9" s="235">
        <v>171</v>
      </c>
      <c r="J9" s="235">
        <v>0.15</v>
      </c>
      <c r="K9" s="226">
        <v>0</v>
      </c>
      <c r="L9" s="226">
        <v>0</v>
      </c>
      <c r="M9" s="226">
        <v>9.4500000000000001E-2</v>
      </c>
      <c r="N9" s="226">
        <v>2.4E-2</v>
      </c>
      <c r="O9" s="235">
        <v>2.2000000000000001E-3</v>
      </c>
      <c r="P9" s="226">
        <v>7.7999999999999996E-3</v>
      </c>
      <c r="Q9" s="226"/>
      <c r="R9" s="229" t="s">
        <v>281</v>
      </c>
      <c r="S9" s="229" t="s">
        <v>217</v>
      </c>
      <c r="T9" s="229"/>
      <c r="U9" s="226">
        <v>1</v>
      </c>
      <c r="V9" s="226">
        <v>1</v>
      </c>
      <c r="W9" s="226">
        <v>1</v>
      </c>
      <c r="X9" s="226">
        <v>1</v>
      </c>
      <c r="Y9" s="226">
        <v>1</v>
      </c>
      <c r="AA9" s="230"/>
      <c r="AB9" s="230" t="s">
        <v>225</v>
      </c>
      <c r="AC9" s="230"/>
    </row>
    <row r="10" spans="1:29" ht="15.05" customHeight="1">
      <c r="A10" s="226" t="s">
        <v>981</v>
      </c>
      <c r="B10" s="235">
        <v>130</v>
      </c>
      <c r="C10" s="235">
        <v>21.9</v>
      </c>
      <c r="D10" s="235">
        <v>4.59</v>
      </c>
      <c r="E10" s="235">
        <v>0.3</v>
      </c>
      <c r="F10" s="235">
        <v>1.01</v>
      </c>
      <c r="G10" s="235">
        <v>0</v>
      </c>
      <c r="H10" s="235">
        <v>7</v>
      </c>
      <c r="I10" s="235">
        <v>184</v>
      </c>
      <c r="J10" s="235">
        <v>9.7000000000000003E-2</v>
      </c>
      <c r="K10" s="226">
        <v>0</v>
      </c>
      <c r="L10" s="235">
        <v>1.44</v>
      </c>
      <c r="M10" s="226">
        <v>0.15</v>
      </c>
      <c r="N10" s="226">
        <v>2.4E-2</v>
      </c>
      <c r="O10" s="235">
        <v>0</v>
      </c>
      <c r="P10" s="235">
        <v>0</v>
      </c>
      <c r="Q10" s="226"/>
      <c r="R10" s="229" t="s">
        <v>282</v>
      </c>
      <c r="S10" s="229" t="s">
        <v>217</v>
      </c>
      <c r="T10" s="229"/>
      <c r="U10" s="226">
        <v>1</v>
      </c>
      <c r="V10" s="226">
        <v>1</v>
      </c>
      <c r="W10" s="226">
        <v>1</v>
      </c>
      <c r="X10" s="226">
        <v>1</v>
      </c>
      <c r="Y10" s="226">
        <v>1</v>
      </c>
      <c r="AA10" s="230"/>
      <c r="AB10" s="230"/>
      <c r="AC10" s="230"/>
    </row>
    <row r="11" spans="1:29" ht="15.05" customHeight="1">
      <c r="A11" s="226" t="s">
        <v>982</v>
      </c>
      <c r="B11" s="235">
        <v>155</v>
      </c>
      <c r="C11" s="235">
        <v>25.5</v>
      </c>
      <c r="D11" s="235">
        <v>5.85</v>
      </c>
      <c r="E11" s="235">
        <v>0</v>
      </c>
      <c r="F11" s="235">
        <v>1.22</v>
      </c>
      <c r="G11" s="235">
        <v>0</v>
      </c>
      <c r="H11" s="235">
        <v>7</v>
      </c>
      <c r="I11" s="235">
        <v>180</v>
      </c>
      <c r="J11" s="235">
        <v>0.16</v>
      </c>
      <c r="K11" s="226">
        <v>0</v>
      </c>
      <c r="L11" s="235">
        <v>2.27</v>
      </c>
      <c r="M11" s="226">
        <v>0.21299999999999999</v>
      </c>
      <c r="N11" s="226">
        <v>4.48E-2</v>
      </c>
      <c r="O11" s="235">
        <v>5.8999999999999999E-3</v>
      </c>
      <c r="P11" s="226">
        <v>2.8999999999999998E-3</v>
      </c>
      <c r="Q11" s="226"/>
      <c r="R11" s="229" t="s">
        <v>283</v>
      </c>
      <c r="S11" s="229" t="s">
        <v>217</v>
      </c>
      <c r="T11" s="229"/>
      <c r="U11" s="226">
        <v>1</v>
      </c>
      <c r="V11" s="226">
        <v>1</v>
      </c>
      <c r="W11" s="226">
        <v>1</v>
      </c>
      <c r="X11" s="226">
        <v>1</v>
      </c>
      <c r="Y11" s="226">
        <v>1</v>
      </c>
      <c r="AA11" s="230"/>
      <c r="AB11" s="230" t="s">
        <v>226</v>
      </c>
      <c r="AC11" s="230"/>
    </row>
    <row r="12" spans="1:29" ht="15.05" customHeight="1">
      <c r="A12" s="226" t="s">
        <v>983</v>
      </c>
      <c r="B12" s="235">
        <v>171</v>
      </c>
      <c r="C12" s="235">
        <v>20</v>
      </c>
      <c r="D12" s="235">
        <v>10.1</v>
      </c>
      <c r="E12" s="226">
        <v>0.05</v>
      </c>
      <c r="F12" s="235">
        <v>0.95</v>
      </c>
      <c r="G12" s="235">
        <v>0</v>
      </c>
      <c r="H12" s="235">
        <v>12</v>
      </c>
      <c r="I12" s="235">
        <v>184</v>
      </c>
      <c r="J12" s="235">
        <v>0.16</v>
      </c>
      <c r="K12" s="226">
        <v>0</v>
      </c>
      <c r="L12" s="226">
        <v>0</v>
      </c>
      <c r="M12" s="226">
        <v>0.21</v>
      </c>
      <c r="N12" s="226">
        <v>5.0999999999999997E-2</v>
      </c>
      <c r="O12" s="235">
        <v>0</v>
      </c>
      <c r="P12" s="235">
        <v>0</v>
      </c>
      <c r="Q12" s="226"/>
      <c r="R12" s="229" t="s">
        <v>887</v>
      </c>
      <c r="S12" s="229" t="s">
        <v>217</v>
      </c>
      <c r="T12" s="229"/>
      <c r="U12" s="226">
        <v>1</v>
      </c>
      <c r="V12" s="226">
        <v>1</v>
      </c>
      <c r="W12" s="226">
        <v>1</v>
      </c>
      <c r="X12" s="226">
        <v>1</v>
      </c>
      <c r="Y12" s="226">
        <v>1</v>
      </c>
      <c r="AA12" s="230"/>
      <c r="AB12" s="230" t="s">
        <v>227</v>
      </c>
      <c r="AC12" s="230"/>
    </row>
    <row r="13" spans="1:29" ht="15.05" customHeight="1">
      <c r="A13" s="226" t="s">
        <v>984</v>
      </c>
      <c r="B13" s="235">
        <v>155</v>
      </c>
      <c r="C13" s="235">
        <v>25.5</v>
      </c>
      <c r="D13" s="235">
        <v>5.85</v>
      </c>
      <c r="E13" s="235">
        <v>0</v>
      </c>
      <c r="F13" s="235">
        <v>1.22</v>
      </c>
      <c r="G13" s="235">
        <v>0</v>
      </c>
      <c r="H13" s="235">
        <v>7</v>
      </c>
      <c r="I13" s="235">
        <v>180</v>
      </c>
      <c r="J13" s="235">
        <v>0.16</v>
      </c>
      <c r="K13" s="226">
        <v>0</v>
      </c>
      <c r="L13" s="226">
        <v>2.27</v>
      </c>
      <c r="M13" s="226">
        <v>0.21299999999999999</v>
      </c>
      <c r="N13" s="226">
        <v>1.4999999999999999E-2</v>
      </c>
      <c r="O13" s="226">
        <v>5.8999999999999999E-3</v>
      </c>
      <c r="P13" s="226">
        <v>2E-3</v>
      </c>
      <c r="Q13" s="226"/>
      <c r="R13" s="229" t="s">
        <v>888</v>
      </c>
      <c r="S13" s="229" t="s">
        <v>217</v>
      </c>
      <c r="T13" s="229"/>
      <c r="U13" s="226">
        <v>1</v>
      </c>
      <c r="V13" s="226">
        <v>1</v>
      </c>
      <c r="W13" s="226">
        <v>1</v>
      </c>
      <c r="X13" s="226">
        <v>1</v>
      </c>
      <c r="Y13" s="226">
        <v>1</v>
      </c>
      <c r="AA13" s="230"/>
      <c r="AB13" s="230" t="s">
        <v>228</v>
      </c>
      <c r="AC13" s="230"/>
    </row>
    <row r="14" spans="1:29" ht="15.05" customHeight="1">
      <c r="A14" s="226" t="s">
        <v>985</v>
      </c>
      <c r="B14" s="235">
        <v>209</v>
      </c>
      <c r="C14" s="235">
        <v>20.2</v>
      </c>
      <c r="D14" s="235">
        <v>14.1</v>
      </c>
      <c r="E14" s="235">
        <v>0.47</v>
      </c>
      <c r="F14" s="235">
        <v>0.9</v>
      </c>
      <c r="G14" s="235">
        <v>0</v>
      </c>
      <c r="H14" s="235">
        <v>9.33</v>
      </c>
      <c r="I14" s="235">
        <v>171</v>
      </c>
      <c r="J14" s="235">
        <v>0.1</v>
      </c>
      <c r="K14" s="235">
        <v>0</v>
      </c>
      <c r="L14" s="235">
        <v>4.6500000000000004</v>
      </c>
      <c r="M14" s="226">
        <v>0.33</v>
      </c>
      <c r="N14" s="226">
        <v>5.2000000000000005E-2</v>
      </c>
      <c r="O14" s="235">
        <v>2E-3</v>
      </c>
      <c r="P14" s="235">
        <v>1E-3</v>
      </c>
      <c r="Q14" s="226"/>
      <c r="R14" s="229" t="s">
        <v>284</v>
      </c>
      <c r="S14" s="229" t="s">
        <v>217</v>
      </c>
      <c r="T14" s="229"/>
      <c r="U14" s="226">
        <v>1</v>
      </c>
      <c r="V14" s="226">
        <v>1</v>
      </c>
      <c r="W14" s="226">
        <v>1</v>
      </c>
      <c r="X14" s="226">
        <v>1</v>
      </c>
      <c r="Y14" s="226">
        <v>1</v>
      </c>
      <c r="AA14" s="230"/>
      <c r="AB14" s="230" t="s">
        <v>227</v>
      </c>
      <c r="AC14" s="230"/>
    </row>
    <row r="15" spans="1:29" ht="15.05" customHeight="1">
      <c r="A15" s="226" t="s">
        <v>986</v>
      </c>
      <c r="B15" s="235">
        <v>239</v>
      </c>
      <c r="C15" s="235">
        <v>23.6</v>
      </c>
      <c r="D15" s="235">
        <v>16.100000000000001</v>
      </c>
      <c r="E15" s="235">
        <v>0</v>
      </c>
      <c r="F15" s="235">
        <v>1.1599999999999999</v>
      </c>
      <c r="G15" s="235">
        <v>0</v>
      </c>
      <c r="H15" s="235">
        <v>15</v>
      </c>
      <c r="I15" s="235">
        <v>198</v>
      </c>
      <c r="J15" s="235">
        <v>0.21</v>
      </c>
      <c r="K15" s="226">
        <v>0</v>
      </c>
      <c r="L15" s="235">
        <v>5.93</v>
      </c>
      <c r="M15" s="226">
        <v>0.32300000000000001</v>
      </c>
      <c r="N15" s="226">
        <v>5.9000000000000004E-2</v>
      </c>
      <c r="O15" s="235">
        <v>3.0000000000000001E-3</v>
      </c>
      <c r="P15" s="235">
        <v>1E-3</v>
      </c>
      <c r="Q15" s="226"/>
      <c r="R15" s="229" t="s">
        <v>285</v>
      </c>
      <c r="S15" s="229" t="s">
        <v>217</v>
      </c>
      <c r="T15" s="229"/>
      <c r="U15" s="226">
        <v>1</v>
      </c>
      <c r="V15" s="226">
        <v>1</v>
      </c>
      <c r="W15" s="226">
        <v>1</v>
      </c>
      <c r="X15" s="226">
        <v>1</v>
      </c>
      <c r="Y15" s="226">
        <v>1</v>
      </c>
      <c r="AA15" s="230"/>
      <c r="AB15" s="230" t="s">
        <v>228</v>
      </c>
      <c r="AC15" s="230"/>
    </row>
    <row r="16" spans="1:29" ht="15.05" customHeight="1">
      <c r="A16" s="226" t="s">
        <v>470</v>
      </c>
      <c r="B16" s="235">
        <v>126</v>
      </c>
      <c r="C16" s="235">
        <v>19.399999999999999</v>
      </c>
      <c r="D16" s="235">
        <v>5.33</v>
      </c>
      <c r="E16" s="235">
        <v>0</v>
      </c>
      <c r="F16" s="235">
        <v>1.1599999999999999</v>
      </c>
      <c r="G16" s="235">
        <v>0</v>
      </c>
      <c r="H16" s="235">
        <v>9</v>
      </c>
      <c r="I16" s="235">
        <v>199</v>
      </c>
      <c r="J16" s="235">
        <v>0.19</v>
      </c>
      <c r="K16" s="235">
        <v>0</v>
      </c>
      <c r="L16" s="235">
        <v>0.97</v>
      </c>
      <c r="M16" s="226">
        <v>0.39</v>
      </c>
      <c r="N16" s="226">
        <v>7.9000000000000001E-2</v>
      </c>
      <c r="O16" s="235">
        <v>0</v>
      </c>
      <c r="P16" s="235">
        <v>0</v>
      </c>
      <c r="Q16" s="226"/>
      <c r="R16" s="229" t="s">
        <v>286</v>
      </c>
      <c r="S16" s="229" t="s">
        <v>217</v>
      </c>
      <c r="T16" s="229"/>
      <c r="U16" s="226">
        <v>1</v>
      </c>
      <c r="V16" s="226">
        <v>1</v>
      </c>
      <c r="W16" s="226">
        <v>1</v>
      </c>
      <c r="X16" s="226">
        <v>1</v>
      </c>
      <c r="Y16" s="226">
        <v>1</v>
      </c>
      <c r="AA16" s="230"/>
      <c r="AB16" s="230"/>
      <c r="AC16" s="230"/>
    </row>
    <row r="17" spans="1:29" ht="15.05" customHeight="1">
      <c r="A17" s="226" t="s">
        <v>471</v>
      </c>
      <c r="B17" s="235">
        <v>194</v>
      </c>
      <c r="C17" s="235">
        <v>23.3</v>
      </c>
      <c r="D17" s="235">
        <v>11.2</v>
      </c>
      <c r="E17" s="235">
        <v>0</v>
      </c>
      <c r="F17" s="235">
        <v>1.28</v>
      </c>
      <c r="G17" s="235">
        <v>0</v>
      </c>
      <c r="H17" s="235">
        <v>6.78</v>
      </c>
      <c r="I17" s="235">
        <v>203</v>
      </c>
      <c r="J17" s="235">
        <v>0.39</v>
      </c>
      <c r="K17" s="235">
        <v>0</v>
      </c>
      <c r="L17" s="235">
        <v>3.66</v>
      </c>
      <c r="M17" s="226">
        <v>0.93399999999999994</v>
      </c>
      <c r="N17" s="226">
        <v>4.9000000000000002E-2</v>
      </c>
      <c r="O17" s="235">
        <v>0</v>
      </c>
      <c r="P17" s="235">
        <v>0</v>
      </c>
      <c r="Q17" s="226"/>
      <c r="R17" s="229" t="s">
        <v>287</v>
      </c>
      <c r="S17" s="229" t="s">
        <v>217</v>
      </c>
      <c r="T17" s="229"/>
      <c r="U17" s="226">
        <v>1</v>
      </c>
      <c r="V17" s="226">
        <v>1</v>
      </c>
      <c r="W17" s="226">
        <v>1</v>
      </c>
      <c r="X17" s="226">
        <v>1</v>
      </c>
      <c r="Y17" s="226">
        <v>1</v>
      </c>
      <c r="AA17" s="230"/>
      <c r="AB17" s="230" t="s">
        <v>229</v>
      </c>
      <c r="AC17" s="230"/>
    </row>
    <row r="18" spans="1:29" ht="15.05" customHeight="1">
      <c r="A18" s="226" t="s">
        <v>472</v>
      </c>
      <c r="B18" s="235">
        <v>121</v>
      </c>
      <c r="C18" s="235">
        <v>22.2</v>
      </c>
      <c r="D18" s="235">
        <v>3.58</v>
      </c>
      <c r="E18" s="226">
        <v>1E-3</v>
      </c>
      <c r="F18" s="226">
        <v>1</v>
      </c>
      <c r="G18" s="226">
        <v>0</v>
      </c>
      <c r="H18" s="226">
        <v>9</v>
      </c>
      <c r="I18" s="226">
        <v>170</v>
      </c>
      <c r="J18" s="226">
        <v>0.15</v>
      </c>
      <c r="K18" s="226">
        <v>0</v>
      </c>
      <c r="L18" s="226">
        <v>0.79</v>
      </c>
      <c r="M18" s="226">
        <v>0.33400000000000002</v>
      </c>
      <c r="N18" s="226">
        <v>0.26</v>
      </c>
      <c r="O18" s="226">
        <v>0</v>
      </c>
      <c r="P18" s="226">
        <v>0</v>
      </c>
      <c r="Q18" s="226"/>
      <c r="R18" s="229" t="s">
        <v>288</v>
      </c>
      <c r="S18" s="229" t="s">
        <v>217</v>
      </c>
      <c r="T18" s="229"/>
      <c r="U18" s="226">
        <v>1</v>
      </c>
      <c r="V18" s="226">
        <v>1</v>
      </c>
      <c r="W18" s="226">
        <v>1</v>
      </c>
      <c r="X18" s="226">
        <v>1</v>
      </c>
      <c r="Y18" s="226">
        <v>1</v>
      </c>
      <c r="AA18" s="230"/>
      <c r="AB18" s="230"/>
      <c r="AC18" s="230"/>
    </row>
    <row r="19" spans="1:29" ht="15.05" customHeight="1">
      <c r="A19" s="226" t="s">
        <v>473</v>
      </c>
      <c r="B19" s="235">
        <v>163</v>
      </c>
      <c r="C19" s="235">
        <v>26.6</v>
      </c>
      <c r="D19" s="235">
        <v>6.27</v>
      </c>
      <c r="E19" s="226">
        <v>1E-3</v>
      </c>
      <c r="F19" s="226">
        <v>1</v>
      </c>
      <c r="G19" s="226">
        <v>0</v>
      </c>
      <c r="H19" s="226">
        <v>10</v>
      </c>
      <c r="I19" s="226">
        <v>185</v>
      </c>
      <c r="J19" s="226">
        <v>0.18</v>
      </c>
      <c r="K19" s="226">
        <v>0</v>
      </c>
      <c r="L19" s="226">
        <v>1.54</v>
      </c>
      <c r="M19" s="226">
        <v>0.50700000000000001</v>
      </c>
      <c r="N19" s="226">
        <v>0.4</v>
      </c>
      <c r="O19" s="226">
        <v>0</v>
      </c>
      <c r="P19" s="226">
        <v>0</v>
      </c>
      <c r="Q19" s="226"/>
      <c r="R19" s="229" t="s">
        <v>289</v>
      </c>
      <c r="S19" s="229" t="s">
        <v>217</v>
      </c>
      <c r="T19" s="229"/>
      <c r="U19" s="226">
        <v>1</v>
      </c>
      <c r="V19" s="226">
        <v>1</v>
      </c>
      <c r="W19" s="226">
        <v>1</v>
      </c>
      <c r="X19" s="226">
        <v>1</v>
      </c>
      <c r="Y19" s="226">
        <v>1</v>
      </c>
      <c r="AA19" s="230"/>
      <c r="AB19" s="230"/>
      <c r="AC19" s="230"/>
    </row>
    <row r="20" spans="1:29" ht="15.05" customHeight="1">
      <c r="A20" s="226" t="s">
        <v>474</v>
      </c>
      <c r="B20" s="235">
        <v>109</v>
      </c>
      <c r="C20" s="235">
        <v>24.1</v>
      </c>
      <c r="D20" s="235">
        <v>1.22</v>
      </c>
      <c r="E20" s="235">
        <v>0.51</v>
      </c>
      <c r="F20" s="235">
        <v>1.1399999999999999</v>
      </c>
      <c r="G20" s="235">
        <v>0</v>
      </c>
      <c r="H20" s="235">
        <v>16.399999999999999</v>
      </c>
      <c r="I20" s="235">
        <v>201</v>
      </c>
      <c r="J20" s="235">
        <v>0.2</v>
      </c>
      <c r="K20" s="235">
        <v>0.09</v>
      </c>
      <c r="L20" s="235">
        <v>0.23</v>
      </c>
      <c r="M20" s="226">
        <v>0.2</v>
      </c>
      <c r="N20" s="226">
        <v>1.0999999999999999E-2</v>
      </c>
      <c r="O20" s="235">
        <v>0</v>
      </c>
      <c r="P20" s="235">
        <v>2E-3</v>
      </c>
      <c r="Q20" s="226"/>
      <c r="R20" s="229" t="s">
        <v>290</v>
      </c>
      <c r="S20" s="229" t="s">
        <v>217</v>
      </c>
      <c r="T20" s="229"/>
      <c r="U20" s="226">
        <v>1</v>
      </c>
      <c r="V20" s="226">
        <v>1</v>
      </c>
      <c r="W20" s="226">
        <v>1</v>
      </c>
      <c r="X20" s="226">
        <v>1</v>
      </c>
      <c r="Y20" s="226">
        <v>1</v>
      </c>
      <c r="AA20" s="233"/>
      <c r="AB20" s="233"/>
      <c r="AC20" s="233"/>
    </row>
    <row r="21" spans="1:29" ht="15.05" customHeight="1">
      <c r="A21" s="226" t="s">
        <v>475</v>
      </c>
      <c r="B21" s="235">
        <v>124</v>
      </c>
      <c r="C21" s="235">
        <v>28.5</v>
      </c>
      <c r="D21" s="235">
        <v>1.0900000000000001</v>
      </c>
      <c r="E21" s="235">
        <v>0</v>
      </c>
      <c r="F21" s="235">
        <v>1.48</v>
      </c>
      <c r="G21" s="235">
        <v>0</v>
      </c>
      <c r="H21" s="235">
        <v>5.42</v>
      </c>
      <c r="I21" s="235">
        <v>293</v>
      </c>
      <c r="J21" s="235">
        <v>0.16</v>
      </c>
      <c r="K21" s="226">
        <v>0</v>
      </c>
      <c r="L21" s="226">
        <v>0</v>
      </c>
      <c r="M21" s="226">
        <v>0.21</v>
      </c>
      <c r="N21" s="226">
        <v>1.6E-2</v>
      </c>
      <c r="O21" s="226">
        <v>0</v>
      </c>
      <c r="P21" s="226">
        <v>0</v>
      </c>
      <c r="Q21" s="226"/>
      <c r="R21" s="229" t="s">
        <v>291</v>
      </c>
      <c r="S21" s="229" t="s">
        <v>217</v>
      </c>
      <c r="T21" s="229"/>
      <c r="U21" s="226">
        <v>1</v>
      </c>
      <c r="V21" s="226">
        <v>1</v>
      </c>
      <c r="W21" s="226">
        <v>1</v>
      </c>
      <c r="X21" s="226">
        <v>1</v>
      </c>
      <c r="Y21" s="226">
        <v>1</v>
      </c>
      <c r="AA21" s="233"/>
      <c r="AB21" s="233"/>
      <c r="AC21" s="233"/>
    </row>
    <row r="22" spans="1:29" ht="15.05" customHeight="1">
      <c r="A22" s="226" t="s">
        <v>864</v>
      </c>
      <c r="B22" s="235">
        <v>109</v>
      </c>
      <c r="C22" s="235">
        <v>21.3</v>
      </c>
      <c r="D22" s="235">
        <v>2.5</v>
      </c>
      <c r="E22" s="235">
        <v>0.4</v>
      </c>
      <c r="F22" s="235">
        <v>1.03</v>
      </c>
      <c r="G22" s="235">
        <v>0</v>
      </c>
      <c r="H22" s="235">
        <v>11</v>
      </c>
      <c r="I22" s="235">
        <v>176</v>
      </c>
      <c r="J22" s="235">
        <v>0.31</v>
      </c>
      <c r="K22" s="235">
        <v>0.05</v>
      </c>
      <c r="L22" s="226">
        <v>0</v>
      </c>
      <c r="M22" s="226">
        <v>0</v>
      </c>
      <c r="N22" s="226">
        <v>3.0000000000000001E-3</v>
      </c>
      <c r="O22" s="235">
        <v>1E-3</v>
      </c>
      <c r="P22" s="235">
        <v>2E-3</v>
      </c>
      <c r="Q22" s="226"/>
      <c r="R22" s="229" t="s">
        <v>865</v>
      </c>
      <c r="S22" s="229" t="s">
        <v>217</v>
      </c>
      <c r="T22" s="229" t="str">
        <f>"
Cuisse de dinde : ne pas oublier de désosser !"</f>
        <v xml:space="preserve">
Cuisse de dinde : ne pas oublier de désosser !</v>
      </c>
      <c r="U22" s="226">
        <v>1</v>
      </c>
      <c r="V22" s="226">
        <v>1</v>
      </c>
      <c r="W22" s="226">
        <v>1</v>
      </c>
      <c r="X22" s="226">
        <v>1</v>
      </c>
      <c r="Y22" s="226">
        <v>1</v>
      </c>
      <c r="AA22" s="233"/>
      <c r="AB22" s="233"/>
      <c r="AC22" s="233"/>
    </row>
    <row r="23" spans="1:29" ht="15.05" customHeight="1">
      <c r="A23" s="226" t="s">
        <v>866</v>
      </c>
      <c r="B23" s="235">
        <v>132</v>
      </c>
      <c r="C23" s="235">
        <v>23.4</v>
      </c>
      <c r="D23" s="235">
        <v>4.3099999999999996</v>
      </c>
      <c r="E23" s="235">
        <v>0</v>
      </c>
      <c r="F23" s="235">
        <v>1.0900000000000001</v>
      </c>
      <c r="G23" s="235">
        <v>0</v>
      </c>
      <c r="H23" s="235">
        <v>10.5</v>
      </c>
      <c r="I23" s="235">
        <v>167</v>
      </c>
      <c r="J23" s="235">
        <v>0.25</v>
      </c>
      <c r="K23" s="235">
        <v>0</v>
      </c>
      <c r="L23" s="235">
        <v>1.17</v>
      </c>
      <c r="M23" s="226">
        <v>1.24</v>
      </c>
      <c r="N23" s="226">
        <v>0.214</v>
      </c>
      <c r="O23" s="235">
        <v>3.5999999999999997E-2</v>
      </c>
      <c r="P23" s="235">
        <v>0.12</v>
      </c>
      <c r="Q23" s="226"/>
      <c r="R23" s="229" t="s">
        <v>867</v>
      </c>
      <c r="S23" s="229" t="s">
        <v>217</v>
      </c>
      <c r="T23" s="229" t="str">
        <f>"
Cuisse de dinde : ne pas oublier de désosser !"</f>
        <v xml:space="preserve">
Cuisse de dinde : ne pas oublier de désosser !</v>
      </c>
      <c r="U23" s="226">
        <v>1</v>
      </c>
      <c r="V23" s="226">
        <v>1</v>
      </c>
      <c r="W23" s="226">
        <v>1</v>
      </c>
      <c r="X23" s="226">
        <v>1</v>
      </c>
      <c r="Y23" s="226">
        <v>1</v>
      </c>
      <c r="AA23" s="233"/>
      <c r="AB23" s="233"/>
      <c r="AC23" s="233"/>
    </row>
    <row r="24" spans="1:29" ht="15.05" customHeight="1">
      <c r="A24" s="226" t="s">
        <v>476</v>
      </c>
      <c r="B24" s="235">
        <v>189</v>
      </c>
      <c r="C24" s="235">
        <v>20.399999999999999</v>
      </c>
      <c r="D24" s="235">
        <v>11.6</v>
      </c>
      <c r="E24" s="235">
        <v>0.66</v>
      </c>
      <c r="F24" s="235">
        <v>0.9</v>
      </c>
      <c r="G24" s="235">
        <v>0</v>
      </c>
      <c r="H24" s="235">
        <v>10.3</v>
      </c>
      <c r="I24" s="235">
        <v>212</v>
      </c>
      <c r="J24" s="235">
        <v>0.14000000000000001</v>
      </c>
      <c r="K24" s="235">
        <v>0</v>
      </c>
      <c r="L24" s="235">
        <v>0.71</v>
      </c>
      <c r="M24" s="226">
        <v>0.86199999999999999</v>
      </c>
      <c r="N24" s="226">
        <v>0.28000000000000003</v>
      </c>
      <c r="O24" s="235">
        <v>0</v>
      </c>
      <c r="P24" s="226">
        <v>0</v>
      </c>
      <c r="Q24" s="226"/>
      <c r="R24" s="229" t="s">
        <v>292</v>
      </c>
      <c r="S24" s="229" t="s">
        <v>217</v>
      </c>
      <c r="T24" s="229"/>
      <c r="U24" s="226">
        <v>1</v>
      </c>
      <c r="V24" s="226">
        <v>1</v>
      </c>
      <c r="W24" s="226">
        <v>1</v>
      </c>
      <c r="X24" s="226">
        <v>1</v>
      </c>
      <c r="Y24" s="226">
        <v>1</v>
      </c>
      <c r="AA24" s="233"/>
      <c r="AB24" s="233"/>
      <c r="AC24" s="233"/>
    </row>
    <row r="25" spans="1:29" ht="15.05" customHeight="1">
      <c r="A25" s="226" t="s">
        <v>477</v>
      </c>
      <c r="B25" s="235">
        <v>167</v>
      </c>
      <c r="C25" s="235">
        <v>20.5</v>
      </c>
      <c r="D25" s="235">
        <v>9.1999999999999993</v>
      </c>
      <c r="E25" s="235">
        <v>0.5</v>
      </c>
      <c r="F25" s="235">
        <v>1.1000000000000001</v>
      </c>
      <c r="G25" s="235">
        <v>0</v>
      </c>
      <c r="H25" s="235">
        <v>13.5</v>
      </c>
      <c r="I25" s="235">
        <v>200</v>
      </c>
      <c r="J25" s="235">
        <v>0.16</v>
      </c>
      <c r="K25" s="235">
        <v>0</v>
      </c>
      <c r="L25" s="235">
        <v>1.84</v>
      </c>
      <c r="M25" s="226">
        <v>1.8820000000000001</v>
      </c>
      <c r="N25" s="226">
        <v>0.18</v>
      </c>
      <c r="O25" s="226">
        <v>0</v>
      </c>
      <c r="P25" s="226">
        <v>0</v>
      </c>
      <c r="Q25" s="226"/>
      <c r="R25" s="229" t="s">
        <v>293</v>
      </c>
      <c r="S25" s="229" t="s">
        <v>217</v>
      </c>
      <c r="T25" s="229"/>
      <c r="U25" s="226">
        <v>1</v>
      </c>
      <c r="V25" s="226">
        <v>1</v>
      </c>
      <c r="W25" s="226">
        <v>1</v>
      </c>
      <c r="X25" s="226">
        <v>1</v>
      </c>
      <c r="Y25" s="226">
        <v>1</v>
      </c>
      <c r="AA25" s="233"/>
      <c r="AB25" s="233"/>
      <c r="AC25" s="233"/>
    </row>
    <row r="26" spans="1:29" ht="15.05" customHeight="1">
      <c r="A26" s="226" t="s">
        <v>478</v>
      </c>
      <c r="B26" s="235">
        <v>178</v>
      </c>
      <c r="C26" s="235">
        <v>18.899999999999999</v>
      </c>
      <c r="D26" s="235">
        <v>11.2</v>
      </c>
      <c r="E26" s="235">
        <v>0.38</v>
      </c>
      <c r="F26" s="235">
        <v>0.92</v>
      </c>
      <c r="G26" s="235">
        <v>0</v>
      </c>
      <c r="H26" s="235">
        <v>10.7</v>
      </c>
      <c r="I26" s="235">
        <v>191</v>
      </c>
      <c r="J26" s="235">
        <v>0.12</v>
      </c>
      <c r="K26" s="226">
        <v>0</v>
      </c>
      <c r="L26" s="235">
        <v>4.47</v>
      </c>
      <c r="M26" s="226">
        <v>1.07</v>
      </c>
      <c r="N26" s="226">
        <v>5.7000000000000002E-2</v>
      </c>
      <c r="O26" s="235">
        <v>0</v>
      </c>
      <c r="P26" s="235">
        <v>3.0000000000000001E-3</v>
      </c>
      <c r="Q26" s="226"/>
      <c r="R26" s="229" t="s">
        <v>294</v>
      </c>
      <c r="S26" s="229" t="s">
        <v>217</v>
      </c>
      <c r="T26" s="229"/>
      <c r="U26" s="226">
        <v>1</v>
      </c>
      <c r="V26" s="226">
        <v>1</v>
      </c>
      <c r="W26" s="226">
        <v>1</v>
      </c>
      <c r="X26" s="226">
        <v>1</v>
      </c>
      <c r="Y26" s="226">
        <v>1</v>
      </c>
      <c r="AA26" s="233"/>
      <c r="AB26" s="233"/>
      <c r="AC26" s="233"/>
    </row>
    <row r="27" spans="1:29" ht="15.05" customHeight="1">
      <c r="A27" s="226" t="s">
        <v>479</v>
      </c>
      <c r="B27" s="235">
        <v>253</v>
      </c>
      <c r="C27" s="235">
        <v>30</v>
      </c>
      <c r="D27" s="235">
        <v>14.8</v>
      </c>
      <c r="E27" s="235">
        <v>0</v>
      </c>
      <c r="F27" s="235">
        <v>1.18</v>
      </c>
      <c r="G27" s="235">
        <v>0</v>
      </c>
      <c r="H27" s="235">
        <v>18</v>
      </c>
      <c r="I27" s="235">
        <v>195</v>
      </c>
      <c r="J27" s="235">
        <v>0.12</v>
      </c>
      <c r="K27" s="226">
        <v>0</v>
      </c>
      <c r="L27" s="235">
        <v>5.76</v>
      </c>
      <c r="M27" s="226">
        <v>1.2449999999999999</v>
      </c>
      <c r="N27" s="226">
        <v>5.8999999999999997E-2</v>
      </c>
      <c r="O27" s="235">
        <v>0</v>
      </c>
      <c r="P27" s="235">
        <v>0</v>
      </c>
      <c r="Q27" s="226"/>
      <c r="R27" s="229" t="s">
        <v>905</v>
      </c>
      <c r="S27" s="229" t="s">
        <v>217</v>
      </c>
      <c r="T27" s="229"/>
      <c r="U27" s="226">
        <v>1</v>
      </c>
      <c r="V27" s="226">
        <v>1</v>
      </c>
      <c r="W27" s="226">
        <v>1</v>
      </c>
      <c r="X27" s="226">
        <v>1</v>
      </c>
      <c r="Y27" s="226">
        <v>1</v>
      </c>
      <c r="AA27" s="233"/>
      <c r="AB27" s="233"/>
      <c r="AC27" s="233"/>
    </row>
    <row r="28" spans="1:29" ht="15.05" customHeight="1">
      <c r="A28" s="226" t="s">
        <v>943</v>
      </c>
      <c r="B28" s="235">
        <v>178</v>
      </c>
      <c r="C28" s="235">
        <v>18.899999999999999</v>
      </c>
      <c r="D28" s="235">
        <v>11.2</v>
      </c>
      <c r="E28" s="235">
        <v>0.38</v>
      </c>
      <c r="F28" s="235">
        <v>0.92</v>
      </c>
      <c r="G28" s="235">
        <v>0</v>
      </c>
      <c r="H28" s="235">
        <v>10.7</v>
      </c>
      <c r="I28" s="235">
        <v>191</v>
      </c>
      <c r="J28" s="235">
        <v>0.12</v>
      </c>
      <c r="K28" s="226">
        <v>0</v>
      </c>
      <c r="L28" s="235">
        <v>4.47</v>
      </c>
      <c r="M28" s="226">
        <v>1.07</v>
      </c>
      <c r="N28" s="226">
        <v>5.7000000000000002E-2</v>
      </c>
      <c r="O28" s="235">
        <v>0</v>
      </c>
      <c r="P28" s="235">
        <v>3.0000000000000001E-3</v>
      </c>
      <c r="Q28" s="226"/>
      <c r="R28" s="229" t="s">
        <v>906</v>
      </c>
      <c r="S28" s="229" t="s">
        <v>217</v>
      </c>
      <c r="T28" s="229"/>
      <c r="U28" s="226">
        <v>1</v>
      </c>
      <c r="V28" s="226">
        <v>1</v>
      </c>
      <c r="W28" s="226">
        <v>1</v>
      </c>
      <c r="X28" s="226">
        <v>1</v>
      </c>
      <c r="Y28" s="226">
        <v>1</v>
      </c>
      <c r="AA28" s="233"/>
      <c r="AB28" s="233"/>
      <c r="AC28" s="233"/>
    </row>
    <row r="29" spans="1:29" ht="15.05" customHeight="1">
      <c r="A29" s="226" t="s">
        <v>944</v>
      </c>
      <c r="B29" s="235">
        <v>253</v>
      </c>
      <c r="C29" s="235">
        <v>30</v>
      </c>
      <c r="D29" s="235">
        <v>14.8</v>
      </c>
      <c r="E29" s="235">
        <v>0</v>
      </c>
      <c r="F29" s="235">
        <v>1.18</v>
      </c>
      <c r="G29" s="235">
        <v>0</v>
      </c>
      <c r="H29" s="235">
        <v>18</v>
      </c>
      <c r="I29" s="235">
        <v>195</v>
      </c>
      <c r="J29" s="235">
        <v>0.12</v>
      </c>
      <c r="K29" s="226">
        <v>0</v>
      </c>
      <c r="L29" s="235">
        <v>5.76</v>
      </c>
      <c r="M29" s="226">
        <v>1.2449999999999999</v>
      </c>
      <c r="N29" s="226">
        <v>5.8999999999999997E-2</v>
      </c>
      <c r="O29" s="235">
        <v>0</v>
      </c>
      <c r="P29" s="235">
        <v>0</v>
      </c>
      <c r="Q29" s="226"/>
      <c r="R29" s="229" t="s">
        <v>907</v>
      </c>
      <c r="S29" s="229" t="s">
        <v>217</v>
      </c>
      <c r="T29" s="229"/>
      <c r="U29" s="226">
        <v>1</v>
      </c>
      <c r="V29" s="226">
        <v>1</v>
      </c>
      <c r="W29" s="226">
        <v>1</v>
      </c>
      <c r="X29" s="226">
        <v>1</v>
      </c>
      <c r="Y29" s="226">
        <v>1</v>
      </c>
      <c r="AA29" s="233"/>
      <c r="AB29" s="233"/>
      <c r="AC29" s="233"/>
    </row>
    <row r="30" spans="1:29" ht="15.05" customHeight="1">
      <c r="A30" s="226" t="s">
        <v>729</v>
      </c>
      <c r="B30" s="235">
        <v>117</v>
      </c>
      <c r="C30" s="235">
        <v>21.2</v>
      </c>
      <c r="D30" s="235">
        <v>3.6</v>
      </c>
      <c r="E30" s="235">
        <v>0</v>
      </c>
      <c r="F30" s="235">
        <v>1.1000000000000001</v>
      </c>
      <c r="G30" s="235">
        <v>0</v>
      </c>
      <c r="H30" s="235">
        <v>6.38</v>
      </c>
      <c r="I30" s="235">
        <v>237</v>
      </c>
      <c r="J30" s="235">
        <v>0.18</v>
      </c>
      <c r="K30" s="235">
        <v>0</v>
      </c>
      <c r="L30" s="235">
        <v>1.36</v>
      </c>
      <c r="M30" s="226">
        <v>0.36</v>
      </c>
      <c r="N30" s="226">
        <v>0.02</v>
      </c>
      <c r="O30" s="235">
        <v>0</v>
      </c>
      <c r="P30" s="235">
        <v>0</v>
      </c>
      <c r="Q30" s="226"/>
      <c r="R30" s="229" t="s">
        <v>295</v>
      </c>
      <c r="S30" s="229" t="s">
        <v>217</v>
      </c>
      <c r="T30" s="229"/>
      <c r="U30" s="226">
        <v>1</v>
      </c>
      <c r="V30" s="226">
        <v>1</v>
      </c>
      <c r="W30" s="226">
        <v>1</v>
      </c>
      <c r="X30" s="226">
        <v>1</v>
      </c>
      <c r="Y30" s="226">
        <v>1</v>
      </c>
      <c r="AA30" s="233"/>
      <c r="AB30" s="233"/>
      <c r="AC30" s="233"/>
    </row>
    <row r="31" spans="1:29" ht="15.05" customHeight="1">
      <c r="A31" s="226" t="s">
        <v>730</v>
      </c>
      <c r="B31" s="235">
        <v>198</v>
      </c>
      <c r="C31" s="235">
        <v>28.3</v>
      </c>
      <c r="D31" s="235">
        <v>9.39</v>
      </c>
      <c r="E31" s="235">
        <v>0</v>
      </c>
      <c r="F31" s="235">
        <v>1.88</v>
      </c>
      <c r="G31" s="235">
        <v>0</v>
      </c>
      <c r="H31" s="235">
        <v>5.5</v>
      </c>
      <c r="I31" s="235">
        <v>281</v>
      </c>
      <c r="J31" s="235">
        <v>0.15</v>
      </c>
      <c r="K31" s="226">
        <v>0</v>
      </c>
      <c r="L31" s="226">
        <v>0</v>
      </c>
      <c r="M31" s="226">
        <v>1.2999999999999999E-2</v>
      </c>
      <c r="N31" s="226">
        <v>0</v>
      </c>
      <c r="O31" s="226">
        <v>0</v>
      </c>
      <c r="P31" s="226">
        <v>0</v>
      </c>
      <c r="Q31" s="226"/>
      <c r="R31" s="229" t="s">
        <v>296</v>
      </c>
      <c r="S31" s="229" t="s">
        <v>217</v>
      </c>
      <c r="T31" s="229"/>
      <c r="U31" s="226">
        <v>1</v>
      </c>
      <c r="V31" s="226">
        <v>1</v>
      </c>
      <c r="W31" s="226">
        <v>1</v>
      </c>
      <c r="X31" s="226">
        <v>1</v>
      </c>
      <c r="Y31" s="226">
        <v>1</v>
      </c>
      <c r="AA31" s="233"/>
      <c r="AB31" s="233"/>
      <c r="AC31" s="233"/>
    </row>
    <row r="32" spans="1:29" ht="15.05" customHeight="1">
      <c r="A32" s="226" t="s">
        <v>731</v>
      </c>
      <c r="B32" s="235">
        <v>114</v>
      </c>
      <c r="C32" s="235">
        <v>19.3</v>
      </c>
      <c r="D32" s="235">
        <v>4.05</v>
      </c>
      <c r="E32" s="235">
        <v>0</v>
      </c>
      <c r="F32" s="235">
        <v>0.98</v>
      </c>
      <c r="G32" s="235">
        <v>0</v>
      </c>
      <c r="H32" s="235">
        <v>10.3</v>
      </c>
      <c r="I32" s="235">
        <v>173</v>
      </c>
      <c r="J32" s="235">
        <v>0.23</v>
      </c>
      <c r="K32" s="226">
        <v>0</v>
      </c>
      <c r="L32" s="235">
        <v>1.02</v>
      </c>
      <c r="M32" s="226">
        <v>0.62</v>
      </c>
      <c r="N32" s="226">
        <v>6.0999999999999999E-2</v>
      </c>
      <c r="O32" s="235">
        <v>8.0000000000000002E-3</v>
      </c>
      <c r="P32" s="235">
        <v>2.8000000000000001E-2</v>
      </c>
      <c r="Q32" s="226"/>
      <c r="R32" s="229" t="s">
        <v>532</v>
      </c>
      <c r="S32" s="229" t="s">
        <v>733</v>
      </c>
      <c r="T32" s="229" t="str">
        <f>"
Cuisse de poulet : ne pas oublier de désosser !"</f>
        <v xml:space="preserve">
Cuisse de poulet : ne pas oublier de désosser !</v>
      </c>
      <c r="U32" s="226">
        <v>1</v>
      </c>
      <c r="V32" s="226">
        <v>1</v>
      </c>
      <c r="W32" s="226">
        <v>1</v>
      </c>
      <c r="X32" s="226">
        <v>1</v>
      </c>
      <c r="Y32" s="226">
        <v>1</v>
      </c>
      <c r="AA32" s="233"/>
      <c r="AB32" s="233"/>
      <c r="AC32" s="233"/>
    </row>
    <row r="33" spans="1:29" ht="15.05" customHeight="1">
      <c r="A33" s="226" t="s">
        <v>732</v>
      </c>
      <c r="B33" s="235">
        <v>188</v>
      </c>
      <c r="C33" s="235">
        <v>24.8</v>
      </c>
      <c r="D33" s="235">
        <v>9.52</v>
      </c>
      <c r="E33" s="235">
        <v>0.7</v>
      </c>
      <c r="F33" s="235">
        <v>1.03</v>
      </c>
      <c r="G33" s="235">
        <v>0</v>
      </c>
      <c r="H33" s="235">
        <v>5.8</v>
      </c>
      <c r="I33" s="235">
        <v>164</v>
      </c>
      <c r="J33" s="235">
        <v>0.23</v>
      </c>
      <c r="K33" s="226">
        <v>0.35</v>
      </c>
      <c r="L33" s="235">
        <v>3.25</v>
      </c>
      <c r="M33" s="226">
        <v>1.6700000000000002</v>
      </c>
      <c r="N33" s="226">
        <v>0.17</v>
      </c>
      <c r="O33" s="226">
        <v>0.01</v>
      </c>
      <c r="P33" s="226">
        <v>0.01</v>
      </c>
      <c r="Q33" s="226"/>
      <c r="R33" s="229" t="s">
        <v>533</v>
      </c>
      <c r="S33" s="229" t="s">
        <v>733</v>
      </c>
      <c r="T33" s="229" t="str">
        <f>"
Cuisse de poulet : ne pas oublier de désosser !"</f>
        <v xml:space="preserve">
Cuisse de poulet : ne pas oublier de désosser !</v>
      </c>
      <c r="U33" s="226">
        <v>1</v>
      </c>
      <c r="V33" s="226">
        <v>1</v>
      </c>
      <c r="W33" s="226">
        <v>1</v>
      </c>
      <c r="X33" s="226">
        <v>1</v>
      </c>
      <c r="Y33" s="226">
        <v>1</v>
      </c>
      <c r="AA33" s="233"/>
      <c r="AB33" s="233"/>
      <c r="AC33" s="233"/>
    </row>
    <row r="34" spans="1:29" ht="15.05" customHeight="1">
      <c r="A34" s="226" t="s">
        <v>736</v>
      </c>
      <c r="B34" s="235">
        <v>110</v>
      </c>
      <c r="C34" s="235">
        <v>23.4</v>
      </c>
      <c r="D34" s="235">
        <v>1.5</v>
      </c>
      <c r="E34" s="226">
        <v>0.45</v>
      </c>
      <c r="F34" s="235">
        <v>1.18</v>
      </c>
      <c r="G34" s="235">
        <v>0</v>
      </c>
      <c r="H34" s="235">
        <v>3.3</v>
      </c>
      <c r="I34" s="235">
        <v>240</v>
      </c>
      <c r="J34" s="235">
        <v>0.11</v>
      </c>
      <c r="K34" s="235">
        <v>0</v>
      </c>
      <c r="L34" s="235">
        <v>0.5</v>
      </c>
      <c r="M34" s="226">
        <v>0.29000000000000004</v>
      </c>
      <c r="N34" s="226">
        <v>0.04</v>
      </c>
      <c r="O34" s="226">
        <v>0.01</v>
      </c>
      <c r="P34" s="226">
        <v>0.01</v>
      </c>
      <c r="Q34" s="226"/>
      <c r="R34" s="229" t="s">
        <v>297</v>
      </c>
      <c r="S34" s="229" t="s">
        <v>217</v>
      </c>
      <c r="T34" s="229"/>
      <c r="U34" s="226">
        <v>1</v>
      </c>
      <c r="V34" s="226">
        <v>1</v>
      </c>
      <c r="W34" s="226">
        <v>1</v>
      </c>
      <c r="X34" s="226">
        <v>1</v>
      </c>
      <c r="Y34" s="226">
        <v>1</v>
      </c>
      <c r="AA34" s="233"/>
      <c r="AB34" s="233"/>
      <c r="AC34" s="233"/>
    </row>
    <row r="35" spans="1:29" ht="15.05" customHeight="1">
      <c r="A35" s="226" t="s">
        <v>737</v>
      </c>
      <c r="B35" s="235">
        <v>141</v>
      </c>
      <c r="C35" s="235">
        <v>30.1</v>
      </c>
      <c r="D35" s="235">
        <v>2</v>
      </c>
      <c r="E35" s="226">
        <v>1.2</v>
      </c>
      <c r="F35" s="235">
        <v>1.46</v>
      </c>
      <c r="G35" s="235">
        <v>0</v>
      </c>
      <c r="H35" s="235">
        <v>4.7</v>
      </c>
      <c r="I35" s="235">
        <v>270</v>
      </c>
      <c r="J35" s="235">
        <v>0.14000000000000001</v>
      </c>
      <c r="K35" s="226">
        <v>0</v>
      </c>
      <c r="L35" s="235">
        <v>0.66</v>
      </c>
      <c r="M35" s="226">
        <v>0.41</v>
      </c>
      <c r="N35" s="226">
        <v>0.05</v>
      </c>
      <c r="O35" s="226">
        <v>0.01</v>
      </c>
      <c r="P35" s="226">
        <v>0.01</v>
      </c>
      <c r="Q35" s="226"/>
      <c r="R35" s="229" t="s">
        <v>298</v>
      </c>
      <c r="S35" s="229" t="s">
        <v>217</v>
      </c>
      <c r="T35" s="229"/>
      <c r="U35" s="226">
        <v>1</v>
      </c>
      <c r="V35" s="226">
        <v>1</v>
      </c>
      <c r="W35" s="226">
        <v>1</v>
      </c>
      <c r="X35" s="226">
        <v>1</v>
      </c>
      <c r="Y35" s="226">
        <v>1</v>
      </c>
      <c r="AA35" s="233"/>
      <c r="AB35" s="233"/>
      <c r="AC35" s="233"/>
    </row>
    <row r="36" spans="1:29" ht="15.05" customHeight="1">
      <c r="A36" s="226" t="s">
        <v>480</v>
      </c>
      <c r="B36" s="235">
        <v>133</v>
      </c>
      <c r="C36" s="235">
        <v>19.8</v>
      </c>
      <c r="D36" s="235">
        <v>5.92</v>
      </c>
      <c r="E36" s="226">
        <v>1E-3</v>
      </c>
      <c r="F36" s="235">
        <v>0.15</v>
      </c>
      <c r="G36" s="235">
        <v>0</v>
      </c>
      <c r="H36" s="235">
        <v>10</v>
      </c>
      <c r="I36" s="235">
        <v>171</v>
      </c>
      <c r="J36" s="235">
        <v>0.15</v>
      </c>
      <c r="K36" s="226">
        <v>0</v>
      </c>
      <c r="L36" s="235">
        <v>1.97</v>
      </c>
      <c r="M36" s="226">
        <v>0.442</v>
      </c>
      <c r="N36" s="226">
        <v>4.3099999999999999E-2</v>
      </c>
      <c r="O36" s="235">
        <v>2.1000000000000001E-2</v>
      </c>
      <c r="P36" s="235">
        <v>4.1000000000000003E-3</v>
      </c>
      <c r="Q36" s="226"/>
      <c r="R36" s="229" t="s">
        <v>300</v>
      </c>
      <c r="S36" s="229" t="s">
        <v>217</v>
      </c>
      <c r="T36" s="229"/>
      <c r="U36" s="226">
        <v>1</v>
      </c>
      <c r="V36" s="226">
        <v>1</v>
      </c>
      <c r="W36" s="226">
        <v>1</v>
      </c>
      <c r="X36" s="226">
        <v>1</v>
      </c>
      <c r="Y36" s="226">
        <v>1</v>
      </c>
      <c r="AA36" s="233"/>
      <c r="AB36" s="233"/>
      <c r="AC36" s="233"/>
    </row>
    <row r="37" spans="1:29" ht="15.05" customHeight="1">
      <c r="A37" s="226" t="s">
        <v>481</v>
      </c>
      <c r="B37" s="235">
        <v>233</v>
      </c>
      <c r="C37" s="235">
        <v>34.9</v>
      </c>
      <c r="D37" s="235">
        <v>10.4</v>
      </c>
      <c r="E37" s="226">
        <v>1E-3</v>
      </c>
      <c r="F37" s="226">
        <v>0</v>
      </c>
      <c r="G37" s="235">
        <v>0</v>
      </c>
      <c r="H37" s="235">
        <v>10.8</v>
      </c>
      <c r="I37" s="226">
        <v>180</v>
      </c>
      <c r="J37" s="226">
        <v>0</v>
      </c>
      <c r="K37" s="226">
        <v>0</v>
      </c>
      <c r="L37" s="235">
        <v>3.46</v>
      </c>
      <c r="M37" s="226">
        <v>0.78099999999999992</v>
      </c>
      <c r="N37" s="226">
        <v>6.8400000000000002E-2</v>
      </c>
      <c r="O37" s="235">
        <v>3.5999999999999997E-2</v>
      </c>
      <c r="P37" s="235">
        <v>1.4E-3</v>
      </c>
      <c r="Q37" s="226"/>
      <c r="R37" s="229" t="s">
        <v>299</v>
      </c>
      <c r="S37" s="229" t="s">
        <v>217</v>
      </c>
      <c r="T37" s="229"/>
      <c r="U37" s="226">
        <v>1</v>
      </c>
      <c r="V37" s="226">
        <v>1</v>
      </c>
      <c r="W37" s="226">
        <v>1</v>
      </c>
      <c r="X37" s="226">
        <v>1</v>
      </c>
      <c r="Y37" s="226">
        <v>1</v>
      </c>
      <c r="AA37" s="233"/>
      <c r="AB37" s="233"/>
      <c r="AC37" s="233"/>
    </row>
    <row r="38" spans="1:29" ht="15.05" customHeight="1">
      <c r="A38" s="226" t="s">
        <v>482</v>
      </c>
      <c r="B38" s="235">
        <v>108</v>
      </c>
      <c r="C38" s="235">
        <v>20.7</v>
      </c>
      <c r="D38" s="235">
        <v>2.6</v>
      </c>
      <c r="E38" s="235">
        <v>0.57999999999999996</v>
      </c>
      <c r="F38" s="235">
        <v>1.08</v>
      </c>
      <c r="G38" s="235">
        <v>0</v>
      </c>
      <c r="H38" s="235">
        <v>10</v>
      </c>
      <c r="I38" s="235">
        <v>171</v>
      </c>
      <c r="J38" s="235">
        <v>9.7000000000000003E-2</v>
      </c>
      <c r="K38" s="226">
        <v>0</v>
      </c>
      <c r="L38" s="235">
        <v>0.83</v>
      </c>
      <c r="M38" s="226">
        <v>0.85</v>
      </c>
      <c r="N38" s="226">
        <v>9.6999999999999989E-2</v>
      </c>
      <c r="O38" s="235">
        <v>4.2000000000000003E-2</v>
      </c>
      <c r="P38" s="235">
        <v>1.0999999999999999E-2</v>
      </c>
      <c r="Q38" s="226"/>
      <c r="R38" s="229" t="s">
        <v>301</v>
      </c>
      <c r="S38" s="229" t="s">
        <v>217</v>
      </c>
      <c r="T38" s="229"/>
      <c r="U38" s="226">
        <v>1</v>
      </c>
      <c r="V38" s="226">
        <v>1</v>
      </c>
      <c r="W38" s="226">
        <v>1</v>
      </c>
      <c r="X38" s="226">
        <v>1</v>
      </c>
      <c r="Y38" s="226">
        <v>1</v>
      </c>
    </row>
    <row r="39" spans="1:29" ht="15.05" customHeight="1">
      <c r="A39" s="226" t="s">
        <v>483</v>
      </c>
      <c r="B39" s="235">
        <v>147</v>
      </c>
      <c r="C39" s="235">
        <v>31</v>
      </c>
      <c r="D39" s="235">
        <v>2.5</v>
      </c>
      <c r="E39" s="226">
        <v>1E-3</v>
      </c>
      <c r="F39" s="235">
        <v>1</v>
      </c>
      <c r="G39" s="235">
        <v>0</v>
      </c>
      <c r="H39" s="235">
        <v>10.8</v>
      </c>
      <c r="I39" s="226">
        <v>180</v>
      </c>
      <c r="J39" s="235">
        <v>0.15</v>
      </c>
      <c r="K39" s="226">
        <v>0</v>
      </c>
      <c r="L39" s="235">
        <v>0.69</v>
      </c>
      <c r="M39" s="226">
        <v>0.21099999999999999</v>
      </c>
      <c r="N39" s="226">
        <v>2.3299999999999998E-2</v>
      </c>
      <c r="O39" s="235">
        <v>1.0999999999999999E-2</v>
      </c>
      <c r="P39" s="235">
        <v>2.3E-3</v>
      </c>
      <c r="Q39" s="226"/>
      <c r="R39" s="229" t="s">
        <v>302</v>
      </c>
      <c r="S39" s="229" t="s">
        <v>217</v>
      </c>
      <c r="T39" s="229"/>
      <c r="U39" s="226">
        <v>1</v>
      </c>
      <c r="V39" s="226">
        <v>1</v>
      </c>
      <c r="W39" s="226">
        <v>1</v>
      </c>
      <c r="X39" s="226">
        <v>1</v>
      </c>
      <c r="Y39" s="226">
        <v>1</v>
      </c>
    </row>
    <row r="40" spans="1:29" ht="15.05" customHeight="1">
      <c r="A40" s="226" t="s">
        <v>963</v>
      </c>
      <c r="B40" s="235">
        <v>98.9</v>
      </c>
      <c r="C40" s="235">
        <v>23.1</v>
      </c>
      <c r="D40" s="235">
        <v>0.73</v>
      </c>
      <c r="E40" s="235">
        <v>0</v>
      </c>
      <c r="F40" s="235">
        <v>1.06</v>
      </c>
      <c r="G40" s="235">
        <v>0</v>
      </c>
      <c r="H40" s="235">
        <v>15.2</v>
      </c>
      <c r="I40" s="235">
        <v>193</v>
      </c>
      <c r="J40" s="235">
        <v>0.2</v>
      </c>
      <c r="K40" s="235">
        <v>0</v>
      </c>
      <c r="L40" s="235">
        <v>7.6999999999999999E-2</v>
      </c>
      <c r="M40" s="226">
        <v>1.95E-2</v>
      </c>
      <c r="N40" s="226">
        <v>0.21639999999999998</v>
      </c>
      <c r="O40" s="235">
        <v>6.5000000000000002E-2</v>
      </c>
      <c r="P40" s="235">
        <v>0.15</v>
      </c>
      <c r="Q40" s="226"/>
      <c r="R40" s="229" t="s">
        <v>303</v>
      </c>
      <c r="S40" s="229" t="s">
        <v>217</v>
      </c>
      <c r="T40" s="229"/>
      <c r="U40" s="226">
        <v>1</v>
      </c>
      <c r="V40" s="226">
        <v>1</v>
      </c>
      <c r="W40" s="226">
        <v>1</v>
      </c>
      <c r="X40" s="226">
        <v>1</v>
      </c>
      <c r="Y40" s="226">
        <v>1</v>
      </c>
    </row>
    <row r="41" spans="1:29" ht="15.05" customHeight="1">
      <c r="A41" s="226" t="s">
        <v>964</v>
      </c>
      <c r="B41" s="235">
        <v>100</v>
      </c>
      <c r="C41" s="235">
        <v>24.4</v>
      </c>
      <c r="D41" s="226">
        <v>0.5</v>
      </c>
      <c r="E41" s="226">
        <v>1E-3</v>
      </c>
      <c r="F41" s="235">
        <v>1.43</v>
      </c>
      <c r="G41" s="235">
        <v>0</v>
      </c>
      <c r="H41" s="235">
        <v>18.899999999999999</v>
      </c>
      <c r="I41" s="235">
        <v>230</v>
      </c>
      <c r="J41" s="235">
        <v>0.23</v>
      </c>
      <c r="K41" s="235">
        <v>0</v>
      </c>
      <c r="L41" s="226">
        <v>0.01</v>
      </c>
      <c r="M41" s="226">
        <v>0.02</v>
      </c>
      <c r="N41" s="226">
        <v>0.03</v>
      </c>
      <c r="O41" s="226">
        <v>0.01</v>
      </c>
      <c r="P41" s="226">
        <v>0.01</v>
      </c>
      <c r="Q41" s="226"/>
      <c r="R41" s="229" t="s">
        <v>304</v>
      </c>
      <c r="S41" s="229" t="s">
        <v>217</v>
      </c>
      <c r="T41" s="229"/>
      <c r="U41" s="226">
        <v>1</v>
      </c>
      <c r="V41" s="226">
        <v>1</v>
      </c>
      <c r="W41" s="226">
        <v>1</v>
      </c>
      <c r="X41" s="226">
        <v>1</v>
      </c>
      <c r="Y41" s="226">
        <v>1</v>
      </c>
    </row>
    <row r="42" spans="1:29" ht="15.05" customHeight="1">
      <c r="A42" s="226" t="s">
        <v>965</v>
      </c>
      <c r="B42" s="235">
        <v>195</v>
      </c>
      <c r="C42" s="235">
        <v>23</v>
      </c>
      <c r="D42" s="235">
        <v>11.5</v>
      </c>
      <c r="E42" s="226">
        <v>1E-3</v>
      </c>
      <c r="F42" s="235">
        <v>1.1000000000000001</v>
      </c>
      <c r="G42" s="235">
        <v>0</v>
      </c>
      <c r="H42" s="235">
        <v>9.23</v>
      </c>
      <c r="I42" s="235">
        <v>270</v>
      </c>
      <c r="J42" s="235">
        <v>0.13</v>
      </c>
      <c r="K42" s="235">
        <v>0</v>
      </c>
      <c r="L42" s="235">
        <v>1.29</v>
      </c>
      <c r="M42" s="226">
        <v>0.442</v>
      </c>
      <c r="N42" s="226">
        <v>1.9300000000000002</v>
      </c>
      <c r="O42" s="235">
        <v>0.64</v>
      </c>
      <c r="P42" s="235">
        <v>1.1100000000000001</v>
      </c>
      <c r="Q42" s="226"/>
      <c r="R42" s="229" t="s">
        <v>305</v>
      </c>
      <c r="S42" s="229" t="s">
        <v>170</v>
      </c>
      <c r="T42" s="229"/>
      <c r="U42" s="226">
        <v>1</v>
      </c>
      <c r="V42" s="226">
        <v>1</v>
      </c>
      <c r="W42" s="226">
        <v>1</v>
      </c>
      <c r="X42" s="226">
        <v>1</v>
      </c>
      <c r="Y42" s="226">
        <v>1</v>
      </c>
    </row>
    <row r="43" spans="1:29" ht="15.05" customHeight="1">
      <c r="A43" s="226" t="s">
        <v>966</v>
      </c>
      <c r="B43" s="235">
        <v>99.7</v>
      </c>
      <c r="C43" s="235">
        <v>23.1</v>
      </c>
      <c r="D43" s="235">
        <v>0.81</v>
      </c>
      <c r="E43" s="226">
        <v>1E-3</v>
      </c>
      <c r="F43" s="235">
        <v>1.01</v>
      </c>
      <c r="G43" s="235">
        <v>0</v>
      </c>
      <c r="H43" s="235">
        <v>37.5</v>
      </c>
      <c r="I43" s="235">
        <v>152</v>
      </c>
      <c r="J43" s="235">
        <v>0.25</v>
      </c>
      <c r="K43" s="226">
        <v>1</v>
      </c>
      <c r="L43" s="235">
        <v>4.2000000000000003E-2</v>
      </c>
      <c r="M43" s="226">
        <v>2.07E-2</v>
      </c>
      <c r="N43" s="226">
        <v>0.23499999999999999</v>
      </c>
      <c r="O43" s="235">
        <v>4.3999999999999997E-2</v>
      </c>
      <c r="P43" s="235">
        <v>0.18</v>
      </c>
      <c r="Q43" s="226"/>
      <c r="R43" s="229" t="s">
        <v>914</v>
      </c>
      <c r="S43" s="229" t="s">
        <v>170</v>
      </c>
      <c r="T43" s="229"/>
      <c r="U43" s="226">
        <v>1</v>
      </c>
      <c r="V43" s="226">
        <v>1</v>
      </c>
      <c r="W43" s="226">
        <v>1</v>
      </c>
      <c r="X43" s="226">
        <v>1</v>
      </c>
      <c r="Y43" s="226">
        <v>1</v>
      </c>
    </row>
    <row r="44" spans="1:29" ht="15.05" customHeight="1">
      <c r="A44" s="226" t="s">
        <v>915</v>
      </c>
      <c r="B44" s="235">
        <v>143</v>
      </c>
      <c r="C44" s="235">
        <v>24.8</v>
      </c>
      <c r="D44" s="235">
        <v>4.8600000000000003</v>
      </c>
      <c r="E44" s="226">
        <v>1E-3</v>
      </c>
      <c r="F44" s="235">
        <v>1.34</v>
      </c>
      <c r="G44" s="235">
        <v>0</v>
      </c>
      <c r="H44" s="235">
        <v>31</v>
      </c>
      <c r="I44" s="235">
        <v>244</v>
      </c>
      <c r="J44" s="235">
        <v>0.18</v>
      </c>
      <c r="K44" s="235">
        <v>0</v>
      </c>
      <c r="L44" s="226">
        <v>0</v>
      </c>
      <c r="M44" s="226">
        <v>0</v>
      </c>
      <c r="N44" s="226">
        <v>0.51</v>
      </c>
      <c r="O44" s="235">
        <v>0.35</v>
      </c>
      <c r="P44" s="235">
        <v>0.16</v>
      </c>
      <c r="Q44" s="226"/>
      <c r="R44" s="229" t="s">
        <v>916</v>
      </c>
      <c r="S44" s="229" t="s">
        <v>170</v>
      </c>
      <c r="T44" s="229"/>
      <c r="U44" s="226">
        <v>1</v>
      </c>
      <c r="V44" s="226">
        <v>1</v>
      </c>
      <c r="W44" s="226">
        <v>1</v>
      </c>
      <c r="X44" s="226">
        <v>1</v>
      </c>
      <c r="Y44" s="226">
        <v>1</v>
      </c>
    </row>
    <row r="45" spans="1:29" ht="15.05" customHeight="1">
      <c r="A45" s="226" t="s">
        <v>917</v>
      </c>
      <c r="B45" s="235">
        <v>228</v>
      </c>
      <c r="C45" s="235">
        <v>21.5</v>
      </c>
      <c r="D45" s="235">
        <v>15.8</v>
      </c>
      <c r="E45" s="226">
        <v>1E-3</v>
      </c>
      <c r="F45" s="235">
        <v>1.08</v>
      </c>
      <c r="G45" s="235">
        <v>0</v>
      </c>
      <c r="H45" s="235">
        <v>12.8</v>
      </c>
      <c r="I45" s="235">
        <v>207</v>
      </c>
      <c r="J45" s="235">
        <v>0.21</v>
      </c>
      <c r="K45" s="235">
        <v>0</v>
      </c>
      <c r="L45" s="235">
        <v>1.85</v>
      </c>
      <c r="M45" s="226">
        <v>0.27</v>
      </c>
      <c r="N45" s="226">
        <v>2.33</v>
      </c>
      <c r="O45" s="235">
        <v>0.8</v>
      </c>
      <c r="P45" s="235">
        <v>1.34</v>
      </c>
      <c r="Q45" s="226"/>
      <c r="R45" s="229" t="s">
        <v>918</v>
      </c>
      <c r="S45" s="229" t="s">
        <v>170</v>
      </c>
      <c r="T45" s="229"/>
      <c r="U45" s="226">
        <v>1</v>
      </c>
      <c r="V45" s="226">
        <v>1</v>
      </c>
      <c r="W45" s="226">
        <v>1</v>
      </c>
      <c r="X45" s="226">
        <v>1</v>
      </c>
      <c r="Y45" s="226">
        <v>1</v>
      </c>
    </row>
    <row r="46" spans="1:29" ht="15.05" customHeight="1">
      <c r="A46" s="226" t="s">
        <v>484</v>
      </c>
      <c r="B46" s="235">
        <v>213</v>
      </c>
      <c r="C46" s="235">
        <v>21.5</v>
      </c>
      <c r="D46" s="235">
        <v>13.9</v>
      </c>
      <c r="E46" s="235">
        <v>0.62</v>
      </c>
      <c r="F46" s="235">
        <v>2.65</v>
      </c>
      <c r="G46" s="235">
        <v>0</v>
      </c>
      <c r="H46" s="235">
        <v>108</v>
      </c>
      <c r="I46" s="235">
        <v>262</v>
      </c>
      <c r="J46" s="235">
        <v>0.7</v>
      </c>
      <c r="K46" s="235">
        <v>0</v>
      </c>
      <c r="L46" s="235">
        <v>1.82</v>
      </c>
      <c r="M46" s="226">
        <v>0.21</v>
      </c>
      <c r="N46" s="226">
        <v>1.788</v>
      </c>
      <c r="O46" s="235">
        <v>0.68</v>
      </c>
      <c r="P46" s="235">
        <v>1.02</v>
      </c>
      <c r="Q46" s="226"/>
      <c r="R46" s="229" t="s">
        <v>485</v>
      </c>
      <c r="S46" s="229" t="s">
        <v>216</v>
      </c>
      <c r="T46" s="229" t="str">
        <f>"
Sardine en conserve : déjà cuite, à donner entière"</f>
        <v xml:space="preserve">
Sardine en conserve : déjà cuite, à donner entière</v>
      </c>
      <c r="U46" s="226">
        <v>1</v>
      </c>
      <c r="V46" s="226">
        <v>1</v>
      </c>
      <c r="W46" s="226">
        <v>1</v>
      </c>
      <c r="X46" s="226">
        <v>1</v>
      </c>
      <c r="Y46" s="226">
        <v>1</v>
      </c>
    </row>
    <row r="47" spans="1:29" ht="15.05" customHeight="1">
      <c r="A47" s="226" t="s">
        <v>486</v>
      </c>
      <c r="B47" s="235">
        <v>163</v>
      </c>
      <c r="C47" s="235">
        <v>19.5</v>
      </c>
      <c r="D47" s="235">
        <v>9.48</v>
      </c>
      <c r="E47" s="226">
        <v>1E-3</v>
      </c>
      <c r="F47" s="235">
        <v>2.2000000000000002</v>
      </c>
      <c r="G47" s="235">
        <v>0</v>
      </c>
      <c r="H47" s="235">
        <v>57.5</v>
      </c>
      <c r="I47" s="235">
        <v>286</v>
      </c>
      <c r="J47" s="235">
        <v>0.22</v>
      </c>
      <c r="K47" s="235">
        <v>0</v>
      </c>
      <c r="L47" s="235">
        <v>1.9E-2</v>
      </c>
      <c r="M47" s="226">
        <v>0.1</v>
      </c>
      <c r="N47" s="226">
        <v>3.14</v>
      </c>
      <c r="O47" s="235">
        <v>1.0900000000000001</v>
      </c>
      <c r="P47" s="235">
        <v>1.58</v>
      </c>
      <c r="Q47" s="226"/>
      <c r="R47" s="229" t="s">
        <v>306</v>
      </c>
      <c r="S47" s="229" t="s">
        <v>216</v>
      </c>
      <c r="T47" s="229" t="str">
        <f>"
Sardine fraîche : à congeler au MINIMUM pendant 2 semaines"</f>
        <v xml:space="preserve">
Sardine fraîche : à congeler au MINIMUM pendant 2 semaines</v>
      </c>
      <c r="U47" s="226">
        <v>0</v>
      </c>
      <c r="V47" s="226">
        <v>0</v>
      </c>
      <c r="W47" s="226">
        <v>0</v>
      </c>
      <c r="X47" s="226">
        <v>0</v>
      </c>
      <c r="Y47" s="226">
        <v>0</v>
      </c>
    </row>
    <row r="48" spans="1:29" ht="15.05" customHeight="1">
      <c r="A48" s="226" t="s">
        <v>487</v>
      </c>
      <c r="B48" s="226">
        <v>135</v>
      </c>
      <c r="C48" s="226">
        <v>10.3</v>
      </c>
      <c r="D48" s="226">
        <v>10.5</v>
      </c>
      <c r="E48" s="226">
        <v>0</v>
      </c>
      <c r="F48" s="226">
        <v>1.2</v>
      </c>
      <c r="G48" s="226">
        <v>0</v>
      </c>
      <c r="H48" s="226">
        <v>110</v>
      </c>
      <c r="I48" s="226">
        <v>220</v>
      </c>
      <c r="J48" s="226">
        <v>0</v>
      </c>
      <c r="K48" s="226">
        <v>0</v>
      </c>
      <c r="L48" s="226">
        <v>0</v>
      </c>
      <c r="M48" s="226">
        <v>0</v>
      </c>
      <c r="N48" s="226">
        <v>0</v>
      </c>
      <c r="O48" s="226">
        <v>0</v>
      </c>
      <c r="P48" s="226">
        <v>0</v>
      </c>
      <c r="Q48" s="226"/>
      <c r="R48" s="229" t="s">
        <v>488</v>
      </c>
      <c r="S48" s="229" t="s">
        <v>216</v>
      </c>
      <c r="T48" s="229"/>
      <c r="U48" s="226">
        <v>0</v>
      </c>
      <c r="V48" s="226">
        <v>0</v>
      </c>
      <c r="W48" s="226">
        <v>0</v>
      </c>
      <c r="X48" s="226">
        <v>0</v>
      </c>
      <c r="Y48" s="226">
        <v>1</v>
      </c>
    </row>
    <row r="49" spans="1:25" ht="15.05" customHeight="1">
      <c r="A49" s="226" t="s">
        <v>967</v>
      </c>
      <c r="B49" s="226">
        <v>88.9</v>
      </c>
      <c r="C49" s="226">
        <v>17.5</v>
      </c>
      <c r="D49" s="226">
        <v>2.1</v>
      </c>
      <c r="E49" s="226">
        <v>1E-3</v>
      </c>
      <c r="F49" s="226">
        <v>0.33</v>
      </c>
      <c r="G49" s="226">
        <v>0</v>
      </c>
      <c r="H49" s="226">
        <v>60</v>
      </c>
      <c r="I49" s="226">
        <v>150</v>
      </c>
      <c r="J49" s="226">
        <v>0.27</v>
      </c>
      <c r="K49" s="226">
        <v>0</v>
      </c>
      <c r="L49" s="226">
        <v>0</v>
      </c>
      <c r="M49" s="226">
        <v>0</v>
      </c>
      <c r="N49" s="226">
        <v>0</v>
      </c>
      <c r="O49" s="226">
        <v>0</v>
      </c>
      <c r="P49" s="226">
        <v>0</v>
      </c>
      <c r="Q49" s="226"/>
      <c r="R49" s="229" t="s">
        <v>968</v>
      </c>
      <c r="S49" s="229" t="s">
        <v>216</v>
      </c>
      <c r="T49" s="229"/>
      <c r="U49" s="226">
        <v>0</v>
      </c>
      <c r="V49" s="226">
        <v>0</v>
      </c>
      <c r="W49" s="226">
        <v>0</v>
      </c>
      <c r="X49" s="226">
        <v>0</v>
      </c>
      <c r="Y49" s="226">
        <v>1</v>
      </c>
    </row>
    <row r="50" spans="1:25" ht="15.05" customHeight="1">
      <c r="A50" s="226" t="s">
        <v>734</v>
      </c>
      <c r="B50" s="226">
        <v>147</v>
      </c>
      <c r="C50" s="226">
        <v>13.8</v>
      </c>
      <c r="D50" s="226">
        <v>9.7200000000000006</v>
      </c>
      <c r="E50" s="226">
        <v>1.01</v>
      </c>
      <c r="F50" s="226">
        <v>0.95</v>
      </c>
      <c r="G50" s="226">
        <v>0</v>
      </c>
      <c r="H50" s="226">
        <v>70</v>
      </c>
      <c r="I50" s="226">
        <v>184</v>
      </c>
      <c r="J50" s="226">
        <v>0.4</v>
      </c>
      <c r="K50" s="226">
        <v>0</v>
      </c>
      <c r="L50" s="226">
        <v>3.43</v>
      </c>
      <c r="M50" s="226">
        <v>1.38</v>
      </c>
      <c r="N50" s="226">
        <v>0.125</v>
      </c>
      <c r="O50" s="226">
        <v>0</v>
      </c>
      <c r="P50" s="226">
        <v>6.9000000000000006E-2</v>
      </c>
      <c r="Q50" s="226"/>
      <c r="R50" s="229" t="s">
        <v>489</v>
      </c>
      <c r="S50" s="229" t="s">
        <v>218</v>
      </c>
      <c r="T50" s="229"/>
      <c r="U50" s="226">
        <v>1</v>
      </c>
      <c r="V50" s="226">
        <v>1</v>
      </c>
      <c r="W50" s="226">
        <v>1</v>
      </c>
      <c r="X50" s="226">
        <v>1</v>
      </c>
      <c r="Y50" s="226">
        <v>1</v>
      </c>
    </row>
    <row r="51" spans="1:25" ht="15.05" customHeight="1">
      <c r="A51" s="226" t="s">
        <v>735</v>
      </c>
      <c r="B51" s="235">
        <v>47.3</v>
      </c>
      <c r="C51" s="235">
        <v>10.3</v>
      </c>
      <c r="D51" s="235">
        <v>0.17</v>
      </c>
      <c r="E51" s="235">
        <v>1.1200000000000001</v>
      </c>
      <c r="F51" s="235">
        <v>0.6</v>
      </c>
      <c r="G51" s="226">
        <v>0</v>
      </c>
      <c r="H51" s="226">
        <v>6.67</v>
      </c>
      <c r="I51" s="226">
        <v>14.7</v>
      </c>
      <c r="J51" s="226">
        <v>0.39</v>
      </c>
      <c r="K51" s="226">
        <v>0</v>
      </c>
      <c r="L51" s="226">
        <v>0</v>
      </c>
      <c r="M51" s="226">
        <v>0</v>
      </c>
      <c r="N51" s="226">
        <v>0</v>
      </c>
      <c r="O51" s="226">
        <v>0</v>
      </c>
      <c r="P51" s="226">
        <v>0</v>
      </c>
      <c r="Q51" s="226"/>
      <c r="R51" s="229" t="s">
        <v>490</v>
      </c>
      <c r="S51" s="229" t="s">
        <v>218</v>
      </c>
      <c r="T51" s="229" t="str">
        <f>"
Blan d'œuf : idéal pour un menu pauvre en phosphore"</f>
        <v xml:space="preserve">
Blan d'œuf : idéal pour un menu pauvre en phosphore</v>
      </c>
      <c r="U51" s="226">
        <v>1</v>
      </c>
      <c r="V51" s="226">
        <v>1</v>
      </c>
      <c r="W51" s="226">
        <v>1</v>
      </c>
      <c r="X51" s="226">
        <v>1</v>
      </c>
      <c r="Y51" s="226">
        <v>1</v>
      </c>
    </row>
    <row r="52" spans="1:25" ht="15.05" customHeight="1">
      <c r="A52" s="226"/>
      <c r="B52" s="226"/>
      <c r="C52" s="226"/>
      <c r="D52" s="226"/>
      <c r="E52" s="226"/>
      <c r="F52" s="226"/>
      <c r="G52" s="226"/>
      <c r="H52" s="226"/>
      <c r="I52" s="226"/>
      <c r="J52" s="226"/>
      <c r="K52" s="226"/>
      <c r="L52" s="226"/>
      <c r="M52" s="226"/>
      <c r="N52" s="226"/>
      <c r="O52" s="226"/>
      <c r="P52" s="226"/>
      <c r="Q52" s="226"/>
      <c r="R52" s="229"/>
      <c r="S52" s="229"/>
      <c r="T52" s="229"/>
      <c r="U52" s="226"/>
      <c r="V52" s="226"/>
      <c r="W52" s="226"/>
      <c r="X52" s="226"/>
      <c r="Y52" s="226"/>
    </row>
    <row r="53" spans="1:25" ht="15.05" customHeight="1">
      <c r="A53" s="226"/>
      <c r="B53" s="226"/>
      <c r="C53" s="226"/>
      <c r="D53" s="226"/>
      <c r="E53" s="226"/>
      <c r="F53" s="226"/>
      <c r="G53" s="226"/>
      <c r="H53" s="226"/>
      <c r="I53" s="226"/>
      <c r="J53" s="226"/>
      <c r="K53" s="226"/>
      <c r="L53" s="226"/>
      <c r="M53" s="226"/>
      <c r="N53" s="226"/>
      <c r="O53" s="226"/>
      <c r="P53" s="226"/>
      <c r="Q53" s="226"/>
      <c r="R53" s="229"/>
      <c r="S53" s="229"/>
      <c r="T53" s="229"/>
      <c r="U53" s="226"/>
      <c r="V53" s="226"/>
      <c r="W53" s="226"/>
      <c r="X53" s="226"/>
      <c r="Y53" s="226"/>
    </row>
    <row r="54" spans="1:25" ht="15.05" customHeight="1">
      <c r="A54" s="226" t="s">
        <v>491</v>
      </c>
      <c r="B54" s="226">
        <v>230</v>
      </c>
      <c r="C54" s="226">
        <v>15</v>
      </c>
      <c r="D54" s="226">
        <v>20</v>
      </c>
      <c r="E54" s="226">
        <v>1.5</v>
      </c>
      <c r="F54" s="226">
        <v>1</v>
      </c>
      <c r="G54" s="226">
        <v>0</v>
      </c>
      <c r="H54" s="226">
        <v>11</v>
      </c>
      <c r="I54" s="226">
        <v>160</v>
      </c>
      <c r="J54" s="226">
        <v>0.2</v>
      </c>
      <c r="K54" s="226">
        <v>0</v>
      </c>
      <c r="L54" s="226">
        <v>1</v>
      </c>
      <c r="M54" s="226">
        <v>0.6</v>
      </c>
      <c r="N54" s="226">
        <v>0.06</v>
      </c>
      <c r="O54" s="226">
        <v>2.8999999999999998E-3</v>
      </c>
      <c r="P54" s="226">
        <v>1.2E-2</v>
      </c>
      <c r="Q54" s="226"/>
      <c r="R54" s="229" t="s">
        <v>313</v>
      </c>
      <c r="S54" s="229" t="s">
        <v>219</v>
      </c>
      <c r="T54" s="229"/>
      <c r="U54" s="226">
        <v>1</v>
      </c>
      <c r="V54" s="226">
        <v>1</v>
      </c>
      <c r="W54" s="226">
        <v>1</v>
      </c>
      <c r="X54" s="226">
        <v>1</v>
      </c>
      <c r="Y54" s="226">
        <v>1</v>
      </c>
    </row>
    <row r="55" spans="1:25" ht="15.05" customHeight="1">
      <c r="A55" s="226" t="s">
        <v>492</v>
      </c>
      <c r="B55" s="226">
        <v>230</v>
      </c>
      <c r="C55" s="226">
        <v>15</v>
      </c>
      <c r="D55" s="226">
        <v>20</v>
      </c>
      <c r="E55" s="226">
        <v>1.5</v>
      </c>
      <c r="F55" s="226">
        <v>1</v>
      </c>
      <c r="G55" s="226">
        <v>0</v>
      </c>
      <c r="H55" s="226">
        <v>11</v>
      </c>
      <c r="I55" s="226">
        <v>160</v>
      </c>
      <c r="J55" s="226">
        <v>0.2</v>
      </c>
      <c r="K55" s="226">
        <v>0</v>
      </c>
      <c r="L55" s="226">
        <v>1</v>
      </c>
      <c r="M55" s="226">
        <v>0.6</v>
      </c>
      <c r="N55" s="226">
        <v>0.06</v>
      </c>
      <c r="O55" s="226">
        <v>0</v>
      </c>
      <c r="P55" s="226">
        <v>2E-3</v>
      </c>
      <c r="Q55" s="226"/>
      <c r="R55" s="229" t="s">
        <v>314</v>
      </c>
      <c r="S55" s="229" t="s">
        <v>219</v>
      </c>
      <c r="T55" s="229"/>
      <c r="U55" s="226">
        <v>1</v>
      </c>
      <c r="V55" s="226">
        <v>1</v>
      </c>
      <c r="W55" s="226">
        <v>1</v>
      </c>
      <c r="X55" s="226">
        <v>1</v>
      </c>
      <c r="Y55" s="226">
        <v>1</v>
      </c>
    </row>
    <row r="56" spans="1:25" ht="15.05" customHeight="1">
      <c r="A56" s="226" t="s">
        <v>493</v>
      </c>
      <c r="B56" s="226">
        <v>155</v>
      </c>
      <c r="C56" s="226">
        <v>25.5</v>
      </c>
      <c r="D56" s="226">
        <v>7.5</v>
      </c>
      <c r="E56" s="226">
        <v>0</v>
      </c>
      <c r="F56" s="226">
        <v>1.22</v>
      </c>
      <c r="G56" s="226">
        <v>0</v>
      </c>
      <c r="H56" s="226">
        <v>7</v>
      </c>
      <c r="I56" s="226">
        <v>180</v>
      </c>
      <c r="J56" s="226">
        <v>0.18</v>
      </c>
      <c r="K56" s="226">
        <v>0</v>
      </c>
      <c r="L56" s="226">
        <v>2.27</v>
      </c>
      <c r="M56" s="226">
        <v>0.21299999999999999</v>
      </c>
      <c r="N56" s="226">
        <v>4.4699999999999997E-2</v>
      </c>
      <c r="O56" s="226">
        <v>5.8999999999999999E-3</v>
      </c>
      <c r="P56" s="226">
        <v>2E-3</v>
      </c>
      <c r="Q56" s="226"/>
      <c r="R56" s="229" t="s">
        <v>315</v>
      </c>
      <c r="S56" s="229" t="s">
        <v>219</v>
      </c>
      <c r="T56" s="229"/>
      <c r="U56" s="226">
        <v>1</v>
      </c>
      <c r="V56" s="226">
        <v>1</v>
      </c>
      <c r="W56" s="226">
        <v>1</v>
      </c>
      <c r="X56" s="226">
        <v>1</v>
      </c>
      <c r="Y56" s="226">
        <v>1</v>
      </c>
    </row>
    <row r="57" spans="1:25" ht="15.05" customHeight="1">
      <c r="A57" s="226" t="s">
        <v>494</v>
      </c>
      <c r="B57" s="226">
        <v>244</v>
      </c>
      <c r="C57" s="226">
        <v>14.8</v>
      </c>
      <c r="D57" s="226">
        <v>20</v>
      </c>
      <c r="E57" s="226">
        <v>1.2000000000000028</v>
      </c>
      <c r="F57" s="226">
        <v>1</v>
      </c>
      <c r="G57" s="226">
        <v>0</v>
      </c>
      <c r="H57" s="226">
        <v>9</v>
      </c>
      <c r="I57" s="226">
        <v>199</v>
      </c>
      <c r="J57" s="226">
        <v>0.1</v>
      </c>
      <c r="K57" s="226">
        <v>0</v>
      </c>
      <c r="L57" s="226">
        <v>1</v>
      </c>
      <c r="M57" s="226">
        <v>0.4</v>
      </c>
      <c r="N57" s="226">
        <v>0.08</v>
      </c>
      <c r="O57" s="226">
        <v>0</v>
      </c>
      <c r="P57" s="226">
        <v>0</v>
      </c>
      <c r="Q57" s="226"/>
      <c r="R57" s="229" t="s">
        <v>307</v>
      </c>
      <c r="S57" s="229" t="s">
        <v>219</v>
      </c>
      <c r="T57" s="229"/>
      <c r="U57" s="226">
        <v>1</v>
      </c>
      <c r="V57" s="226">
        <v>1</v>
      </c>
      <c r="W57" s="226">
        <v>1</v>
      </c>
      <c r="X57" s="226">
        <v>1</v>
      </c>
      <c r="Y57" s="226">
        <v>1</v>
      </c>
    </row>
    <row r="58" spans="1:25" ht="15.05" customHeight="1">
      <c r="A58" s="226" t="s">
        <v>495</v>
      </c>
      <c r="B58" s="226">
        <v>232</v>
      </c>
      <c r="C58" s="226">
        <v>16</v>
      </c>
      <c r="D58" s="226">
        <v>18</v>
      </c>
      <c r="E58" s="226">
        <v>1.5</v>
      </c>
      <c r="F58" s="226">
        <v>1</v>
      </c>
      <c r="G58" s="226">
        <v>0</v>
      </c>
      <c r="H58" s="226">
        <v>10</v>
      </c>
      <c r="I58" s="226">
        <v>170</v>
      </c>
      <c r="J58" s="226">
        <v>0.2</v>
      </c>
      <c r="K58" s="226">
        <v>0</v>
      </c>
      <c r="L58" s="226">
        <v>0.4</v>
      </c>
      <c r="M58" s="226">
        <v>0.3</v>
      </c>
      <c r="N58" s="226">
        <v>0.05</v>
      </c>
      <c r="O58" s="226">
        <v>0</v>
      </c>
      <c r="P58" s="226">
        <v>2E-3</v>
      </c>
      <c r="Q58" s="226"/>
      <c r="R58" s="229" t="s">
        <v>308</v>
      </c>
      <c r="S58" s="229" t="s">
        <v>219</v>
      </c>
      <c r="T58" s="229"/>
      <c r="U58" s="226">
        <v>1</v>
      </c>
      <c r="V58" s="226">
        <v>1</v>
      </c>
      <c r="W58" s="226">
        <v>1</v>
      </c>
      <c r="X58" s="226">
        <v>1</v>
      </c>
      <c r="Y58" s="226">
        <v>1</v>
      </c>
    </row>
    <row r="59" spans="1:25" ht="15.05" customHeight="1">
      <c r="A59" s="226" t="s">
        <v>496</v>
      </c>
      <c r="B59" s="226">
        <v>167</v>
      </c>
      <c r="C59" s="226">
        <v>17.7</v>
      </c>
      <c r="D59" s="226">
        <v>10</v>
      </c>
      <c r="E59" s="226">
        <v>1.5999999999999943</v>
      </c>
      <c r="F59" s="226">
        <v>1</v>
      </c>
      <c r="G59" s="226">
        <v>0</v>
      </c>
      <c r="H59" s="226">
        <v>10</v>
      </c>
      <c r="I59" s="226">
        <v>200</v>
      </c>
      <c r="J59" s="226">
        <v>0.15</v>
      </c>
      <c r="K59" s="226">
        <v>0</v>
      </c>
      <c r="L59" s="226">
        <v>0.7</v>
      </c>
      <c r="M59" s="226">
        <v>0.8</v>
      </c>
      <c r="N59" s="226">
        <v>0.2</v>
      </c>
      <c r="O59" s="226">
        <v>0</v>
      </c>
      <c r="P59" s="226">
        <v>0</v>
      </c>
      <c r="Q59" s="226"/>
      <c r="R59" s="229" t="s">
        <v>309</v>
      </c>
      <c r="S59" s="229" t="s">
        <v>219</v>
      </c>
      <c r="T59" s="229"/>
      <c r="U59" s="226">
        <v>1</v>
      </c>
      <c r="V59" s="226">
        <v>1</v>
      </c>
      <c r="W59" s="226">
        <v>1</v>
      </c>
      <c r="X59" s="226">
        <v>1</v>
      </c>
      <c r="Y59" s="226">
        <v>1</v>
      </c>
    </row>
    <row r="60" spans="1:25" ht="15.05" customHeight="1">
      <c r="A60" s="226" t="s">
        <v>497</v>
      </c>
      <c r="B60" s="226">
        <v>217</v>
      </c>
      <c r="C60" s="226">
        <v>16.7</v>
      </c>
      <c r="D60" s="226">
        <v>15.9</v>
      </c>
      <c r="E60" s="226">
        <v>1.7999999999999972</v>
      </c>
      <c r="F60" s="226">
        <v>1.1000000000000001</v>
      </c>
      <c r="G60" s="226">
        <v>0</v>
      </c>
      <c r="H60" s="226">
        <v>11</v>
      </c>
      <c r="I60" s="226">
        <v>170</v>
      </c>
      <c r="J60" s="226">
        <v>0.15</v>
      </c>
      <c r="K60" s="226">
        <v>0</v>
      </c>
      <c r="L60" s="226">
        <v>0</v>
      </c>
      <c r="M60" s="226">
        <v>0</v>
      </c>
      <c r="N60" s="226">
        <v>0.04</v>
      </c>
      <c r="O60" s="226">
        <v>0</v>
      </c>
      <c r="P60" s="226">
        <v>2E-3</v>
      </c>
      <c r="Q60" s="226"/>
      <c r="R60" s="229" t="s">
        <v>310</v>
      </c>
      <c r="S60" s="229" t="s">
        <v>219</v>
      </c>
      <c r="T60" s="229"/>
      <c r="U60" s="226">
        <v>1</v>
      </c>
      <c r="V60" s="226">
        <v>1</v>
      </c>
      <c r="W60" s="226">
        <v>1</v>
      </c>
      <c r="X60" s="226">
        <v>1</v>
      </c>
      <c r="Y60" s="226">
        <v>1</v>
      </c>
    </row>
    <row r="61" spans="1:25" ht="15.05" customHeight="1">
      <c r="A61" s="226" t="s">
        <v>498</v>
      </c>
      <c r="B61" s="226">
        <v>236</v>
      </c>
      <c r="C61" s="226">
        <v>14.8</v>
      </c>
      <c r="D61" s="226">
        <v>19</v>
      </c>
      <c r="E61" s="226">
        <v>1.5</v>
      </c>
      <c r="F61" s="226">
        <v>1</v>
      </c>
      <c r="G61" s="226">
        <v>0</v>
      </c>
      <c r="H61" s="226">
        <v>11</v>
      </c>
      <c r="I61" s="226">
        <v>160</v>
      </c>
      <c r="J61" s="226">
        <v>0.2</v>
      </c>
      <c r="K61" s="226">
        <v>0</v>
      </c>
      <c r="L61" s="226">
        <v>1</v>
      </c>
      <c r="M61" s="226">
        <v>0.6</v>
      </c>
      <c r="N61" s="226">
        <v>0.06</v>
      </c>
      <c r="O61" s="226">
        <v>2.8999999999999998E-3</v>
      </c>
      <c r="P61" s="226">
        <v>1.2E-2</v>
      </c>
      <c r="Q61" s="226"/>
      <c r="R61" s="229" t="s">
        <v>311</v>
      </c>
      <c r="S61" s="229" t="s">
        <v>219</v>
      </c>
      <c r="T61" s="229"/>
      <c r="U61" s="226">
        <v>1</v>
      </c>
      <c r="V61" s="226">
        <v>1</v>
      </c>
      <c r="W61" s="226">
        <v>1</v>
      </c>
      <c r="X61" s="226">
        <v>1</v>
      </c>
      <c r="Y61" s="226">
        <v>1</v>
      </c>
    </row>
    <row r="62" spans="1:25" ht="15.05" customHeight="1">
      <c r="A62" s="226" t="s">
        <v>499</v>
      </c>
      <c r="B62" s="226">
        <v>100</v>
      </c>
      <c r="C62" s="226">
        <v>21</v>
      </c>
      <c r="D62" s="226">
        <v>1.5</v>
      </c>
      <c r="E62" s="226">
        <v>0.57999999999999829</v>
      </c>
      <c r="F62" s="226">
        <v>1.92</v>
      </c>
      <c r="G62" s="226">
        <v>0</v>
      </c>
      <c r="H62" s="226">
        <v>8</v>
      </c>
      <c r="I62" s="226">
        <v>210</v>
      </c>
      <c r="J62" s="226">
        <v>0.1</v>
      </c>
      <c r="K62" s="226">
        <v>0</v>
      </c>
      <c r="L62" s="226">
        <v>0.5</v>
      </c>
      <c r="M62" s="226">
        <v>0.3</v>
      </c>
      <c r="N62" s="226">
        <v>0.02</v>
      </c>
      <c r="O62" s="226">
        <v>2.8999999999999998E-3</v>
      </c>
      <c r="P62" s="226">
        <v>1.2E-2</v>
      </c>
      <c r="Q62" s="226"/>
      <c r="R62" s="229" t="s">
        <v>312</v>
      </c>
      <c r="S62" s="229" t="s">
        <v>220</v>
      </c>
      <c r="T62" s="229"/>
      <c r="U62" s="226">
        <v>1</v>
      </c>
      <c r="V62" s="226">
        <v>1</v>
      </c>
      <c r="W62" s="226">
        <v>1</v>
      </c>
      <c r="X62" s="226">
        <v>1</v>
      </c>
      <c r="Y62" s="226">
        <v>1</v>
      </c>
    </row>
    <row r="63" spans="1:25" ht="15.05" customHeight="1">
      <c r="A63" s="226" t="s">
        <v>798</v>
      </c>
      <c r="B63" s="226">
        <v>74.2</v>
      </c>
      <c r="C63" s="226">
        <v>17</v>
      </c>
      <c r="D63" s="226">
        <v>0.5</v>
      </c>
      <c r="E63" s="226">
        <v>4.4000000000000057</v>
      </c>
      <c r="F63" s="226">
        <v>1</v>
      </c>
      <c r="G63" s="226">
        <v>0.1</v>
      </c>
      <c r="H63" s="226">
        <v>12.9</v>
      </c>
      <c r="I63" s="226">
        <v>224</v>
      </c>
      <c r="J63" s="226">
        <v>0</v>
      </c>
      <c r="K63" s="226">
        <v>0</v>
      </c>
      <c r="L63" s="226">
        <v>0</v>
      </c>
      <c r="M63" s="226">
        <v>0</v>
      </c>
      <c r="N63" s="226">
        <v>0</v>
      </c>
      <c r="O63" s="226">
        <v>0</v>
      </c>
      <c r="P63" s="226">
        <v>0</v>
      </c>
      <c r="Q63" s="226"/>
      <c r="R63" s="229" t="s">
        <v>774</v>
      </c>
      <c r="S63" s="229" t="s">
        <v>773</v>
      </c>
      <c r="T63" s="229" t="str">
        <f>"
Almo Nature : pour chat difficile avec la viande ou le CMV"</f>
        <v xml:space="preserve">
Almo Nature : pour chat difficile avec la viande ou le CMV</v>
      </c>
      <c r="U63" s="226">
        <v>1</v>
      </c>
      <c r="V63" s="226">
        <v>1</v>
      </c>
      <c r="W63" s="226">
        <v>1</v>
      </c>
      <c r="X63" s="226">
        <v>1</v>
      </c>
      <c r="Y63" s="226">
        <v>1</v>
      </c>
    </row>
    <row r="64" spans="1:25" ht="15.05" customHeight="1">
      <c r="A64" s="226" t="s">
        <v>799</v>
      </c>
      <c r="B64" s="226">
        <v>79.2</v>
      </c>
      <c r="C64" s="226">
        <v>19</v>
      </c>
      <c r="D64" s="226">
        <v>1.5</v>
      </c>
      <c r="E64" s="226">
        <v>2.4000000000000057</v>
      </c>
      <c r="F64" s="226">
        <v>1</v>
      </c>
      <c r="G64" s="226">
        <v>0.1</v>
      </c>
      <c r="H64" s="226">
        <v>12.9</v>
      </c>
      <c r="I64" s="226">
        <v>224</v>
      </c>
      <c r="J64" s="226">
        <v>0</v>
      </c>
      <c r="K64" s="226">
        <v>0</v>
      </c>
      <c r="L64" s="226">
        <v>0</v>
      </c>
      <c r="M64" s="226">
        <v>0</v>
      </c>
      <c r="N64" s="226">
        <v>0</v>
      </c>
      <c r="O64" s="226">
        <v>0</v>
      </c>
      <c r="P64" s="226">
        <v>0</v>
      </c>
      <c r="Q64" s="226"/>
      <c r="R64" s="229" t="s">
        <v>775</v>
      </c>
      <c r="S64" s="229" t="s">
        <v>773</v>
      </c>
      <c r="T64" s="229" t="str">
        <f t="shared" ref="T64:T76" si="0">"
Almo Nature : pour chat difficile avec la viande ou le CMV"</f>
        <v xml:space="preserve">
Almo Nature : pour chat difficile avec la viande ou le CMV</v>
      </c>
      <c r="U64" s="226">
        <v>1</v>
      </c>
      <c r="V64" s="226">
        <v>1</v>
      </c>
      <c r="W64" s="226">
        <v>1</v>
      </c>
      <c r="X64" s="226">
        <v>1</v>
      </c>
      <c r="Y64" s="226">
        <v>1</v>
      </c>
    </row>
    <row r="65" spans="1:25" ht="15.05" customHeight="1">
      <c r="A65" s="226" t="s">
        <v>800</v>
      </c>
      <c r="B65" s="226">
        <v>60.5</v>
      </c>
      <c r="C65" s="226">
        <v>16.8</v>
      </c>
      <c r="D65" s="226">
        <v>0.2</v>
      </c>
      <c r="E65" s="226">
        <v>2.9000000000000057</v>
      </c>
      <c r="F65" s="226">
        <v>1</v>
      </c>
      <c r="G65" s="226">
        <v>0.1</v>
      </c>
      <c r="H65" s="226">
        <v>7.15</v>
      </c>
      <c r="I65" s="226">
        <v>265.5</v>
      </c>
      <c r="J65" s="226">
        <v>0</v>
      </c>
      <c r="K65" s="226">
        <v>0</v>
      </c>
      <c r="L65" s="226">
        <v>0</v>
      </c>
      <c r="M65" s="226">
        <v>0</v>
      </c>
      <c r="N65" s="226">
        <v>0</v>
      </c>
      <c r="O65" s="226">
        <v>0</v>
      </c>
      <c r="P65" s="226">
        <v>0</v>
      </c>
      <c r="Q65" s="226"/>
      <c r="R65" s="229" t="s">
        <v>776</v>
      </c>
      <c r="S65" s="229" t="s">
        <v>773</v>
      </c>
      <c r="T65" s="229" t="str">
        <f t="shared" si="0"/>
        <v xml:space="preserve">
Almo Nature : pour chat difficile avec la viande ou le CMV</v>
      </c>
      <c r="U65" s="226">
        <v>1</v>
      </c>
      <c r="V65" s="226">
        <v>1</v>
      </c>
      <c r="W65" s="226">
        <v>1</v>
      </c>
      <c r="X65" s="226">
        <v>1</v>
      </c>
      <c r="Y65" s="226">
        <v>1</v>
      </c>
    </row>
    <row r="66" spans="1:25" ht="15.05" customHeight="1">
      <c r="A66" s="226" t="s">
        <v>801</v>
      </c>
      <c r="B66" s="226">
        <v>76.5</v>
      </c>
      <c r="C66" s="226">
        <v>17</v>
      </c>
      <c r="D66" s="226">
        <v>2</v>
      </c>
      <c r="E66" s="226">
        <v>1.9000000000000057</v>
      </c>
      <c r="F66" s="226">
        <v>1</v>
      </c>
      <c r="G66" s="226">
        <v>0.1</v>
      </c>
      <c r="H66" s="226">
        <v>4.5999999999999996</v>
      </c>
      <c r="I66" s="226">
        <v>150</v>
      </c>
      <c r="J66" s="226">
        <v>0</v>
      </c>
      <c r="K66" s="226">
        <v>0</v>
      </c>
      <c r="L66" s="226">
        <v>0</v>
      </c>
      <c r="M66" s="226">
        <v>0</v>
      </c>
      <c r="N66" s="226">
        <v>0</v>
      </c>
      <c r="O66" s="226">
        <v>0</v>
      </c>
      <c r="P66" s="226">
        <v>0</v>
      </c>
      <c r="Q66" s="226"/>
      <c r="R66" s="229" t="s">
        <v>777</v>
      </c>
      <c r="S66" s="229" t="s">
        <v>773</v>
      </c>
      <c r="T66" s="229" t="str">
        <f t="shared" si="0"/>
        <v xml:space="preserve">
Almo Nature : pour chat difficile avec la viande ou le CMV</v>
      </c>
      <c r="U66" s="226">
        <v>1</v>
      </c>
      <c r="V66" s="226">
        <v>1</v>
      </c>
      <c r="W66" s="226">
        <v>1</v>
      </c>
      <c r="X66" s="226">
        <v>1</v>
      </c>
      <c r="Y66" s="226">
        <v>1</v>
      </c>
    </row>
    <row r="67" spans="1:25" ht="15.05" customHeight="1">
      <c r="A67" s="226" t="s">
        <v>802</v>
      </c>
      <c r="B67" s="226">
        <v>76.5</v>
      </c>
      <c r="C67" s="226">
        <v>17</v>
      </c>
      <c r="D67" s="226">
        <v>2</v>
      </c>
      <c r="E67" s="226">
        <v>4.9000000000000057</v>
      </c>
      <c r="F67" s="226">
        <v>1</v>
      </c>
      <c r="G67" s="226">
        <v>0.1</v>
      </c>
      <c r="H67" s="226">
        <v>1.33</v>
      </c>
      <c r="I67" s="226">
        <v>307</v>
      </c>
      <c r="J67" s="226">
        <v>0</v>
      </c>
      <c r="K67" s="226">
        <v>0</v>
      </c>
      <c r="L67" s="226">
        <v>0</v>
      </c>
      <c r="M67" s="226">
        <v>0</v>
      </c>
      <c r="N67" s="226">
        <v>0</v>
      </c>
      <c r="O67" s="226">
        <v>0</v>
      </c>
      <c r="P67" s="226">
        <v>0</v>
      </c>
      <c r="Q67" s="226"/>
      <c r="R67" s="229" t="s">
        <v>778</v>
      </c>
      <c r="S67" s="229" t="s">
        <v>773</v>
      </c>
      <c r="T67" s="229" t="str">
        <f t="shared" si="0"/>
        <v xml:space="preserve">
Almo Nature : pour chat difficile avec la viande ou le CMV</v>
      </c>
      <c r="U67" s="226">
        <v>1</v>
      </c>
      <c r="V67" s="226">
        <v>1</v>
      </c>
      <c r="W67" s="226">
        <v>1</v>
      </c>
      <c r="X67" s="226">
        <v>1</v>
      </c>
      <c r="Y67" s="226">
        <v>1</v>
      </c>
    </row>
    <row r="68" spans="1:25" ht="15.05" customHeight="1">
      <c r="A68" s="226" t="s">
        <v>803</v>
      </c>
      <c r="B68" s="226">
        <v>74.2</v>
      </c>
      <c r="C68" s="226">
        <v>20</v>
      </c>
      <c r="D68" s="226">
        <v>0.5</v>
      </c>
      <c r="E68" s="226">
        <v>1.4000000000000057</v>
      </c>
      <c r="F68" s="226">
        <v>1</v>
      </c>
      <c r="G68" s="226">
        <v>0.1</v>
      </c>
      <c r="H68" s="226">
        <v>1.33</v>
      </c>
      <c r="I68" s="226">
        <v>307</v>
      </c>
      <c r="J68" s="226">
        <v>0</v>
      </c>
      <c r="K68" s="226">
        <v>0</v>
      </c>
      <c r="L68" s="226">
        <v>0</v>
      </c>
      <c r="M68" s="226">
        <v>0</v>
      </c>
      <c r="N68" s="226">
        <v>0</v>
      </c>
      <c r="O68" s="226">
        <v>0</v>
      </c>
      <c r="P68" s="226">
        <v>0</v>
      </c>
      <c r="Q68" s="226"/>
      <c r="R68" s="229" t="s">
        <v>779</v>
      </c>
      <c r="S68" s="229" t="s">
        <v>773</v>
      </c>
      <c r="T68" s="229" t="str">
        <f t="shared" si="0"/>
        <v xml:space="preserve">
Almo Nature : pour chat difficile avec la viande ou le CMV</v>
      </c>
      <c r="U68" s="226">
        <v>1</v>
      </c>
      <c r="V68" s="226">
        <v>1</v>
      </c>
      <c r="W68" s="226">
        <v>1</v>
      </c>
      <c r="X68" s="226">
        <v>1</v>
      </c>
      <c r="Y68" s="226">
        <v>1</v>
      </c>
    </row>
    <row r="69" spans="1:25" ht="15.05" customHeight="1">
      <c r="A69" s="226" t="s">
        <v>804</v>
      </c>
      <c r="B69" s="226">
        <v>74.2</v>
      </c>
      <c r="C69" s="226">
        <v>20</v>
      </c>
      <c r="D69" s="226"/>
      <c r="E69" s="226">
        <v>1.9000000000000057</v>
      </c>
      <c r="F69" s="226">
        <v>1</v>
      </c>
      <c r="G69" s="226">
        <v>0.1</v>
      </c>
      <c r="H69" s="226">
        <v>12.9</v>
      </c>
      <c r="I69" s="226">
        <v>224</v>
      </c>
      <c r="J69" s="226">
        <v>0</v>
      </c>
      <c r="K69" s="226">
        <v>0</v>
      </c>
      <c r="L69" s="226">
        <v>0</v>
      </c>
      <c r="M69" s="226">
        <v>0</v>
      </c>
      <c r="N69" s="226">
        <v>0</v>
      </c>
      <c r="O69" s="226">
        <v>0</v>
      </c>
      <c r="P69" s="226">
        <v>0</v>
      </c>
      <c r="Q69" s="226"/>
      <c r="R69" s="229" t="s">
        <v>780</v>
      </c>
      <c r="S69" s="229" t="s">
        <v>773</v>
      </c>
      <c r="T69" s="229" t="str">
        <f t="shared" si="0"/>
        <v xml:space="preserve">
Almo Nature : pour chat difficile avec la viande ou le CMV</v>
      </c>
      <c r="U69" s="226">
        <v>1</v>
      </c>
      <c r="V69" s="226">
        <v>1</v>
      </c>
      <c r="W69" s="226">
        <v>1</v>
      </c>
      <c r="X69" s="226">
        <v>1</v>
      </c>
      <c r="Y69" s="226">
        <v>1</v>
      </c>
    </row>
    <row r="70" spans="1:25" ht="15.05" customHeight="1">
      <c r="A70" s="226" t="s">
        <v>805</v>
      </c>
      <c r="B70" s="226">
        <v>85</v>
      </c>
      <c r="C70" s="226">
        <v>17</v>
      </c>
      <c r="D70" s="226">
        <v>4</v>
      </c>
      <c r="E70" s="226">
        <v>0.90000000000000568</v>
      </c>
      <c r="F70" s="226">
        <v>1</v>
      </c>
      <c r="G70" s="226">
        <v>0.1</v>
      </c>
      <c r="H70" s="226">
        <v>12.9</v>
      </c>
      <c r="I70" s="226">
        <v>224</v>
      </c>
      <c r="J70" s="226">
        <v>0</v>
      </c>
      <c r="K70" s="226">
        <v>0</v>
      </c>
      <c r="L70" s="226">
        <v>0</v>
      </c>
      <c r="M70" s="226">
        <v>0</v>
      </c>
      <c r="N70" s="226">
        <v>0</v>
      </c>
      <c r="O70" s="226">
        <v>0</v>
      </c>
      <c r="P70" s="226">
        <v>0</v>
      </c>
      <c r="Q70" s="226"/>
      <c r="R70" s="229" t="s">
        <v>781</v>
      </c>
      <c r="S70" s="229" t="s">
        <v>773</v>
      </c>
      <c r="T70" s="229" t="str">
        <f t="shared" si="0"/>
        <v xml:space="preserve">
Almo Nature : pour chat difficile avec la viande ou le CMV</v>
      </c>
      <c r="U70" s="226">
        <v>1</v>
      </c>
      <c r="V70" s="226">
        <v>1</v>
      </c>
      <c r="W70" s="226">
        <v>1</v>
      </c>
      <c r="X70" s="226">
        <v>1</v>
      </c>
      <c r="Y70" s="226">
        <v>1</v>
      </c>
    </row>
    <row r="71" spans="1:25" ht="15.05" customHeight="1">
      <c r="A71" s="226" t="s">
        <v>806</v>
      </c>
      <c r="B71" s="226">
        <v>80</v>
      </c>
      <c r="C71" s="226">
        <v>18</v>
      </c>
      <c r="D71" s="226">
        <v>2</v>
      </c>
      <c r="E71" s="226">
        <v>1.9000000000000057</v>
      </c>
      <c r="F71" s="226">
        <v>1</v>
      </c>
      <c r="G71" s="226">
        <v>0.1</v>
      </c>
      <c r="H71" s="226">
        <v>12.9</v>
      </c>
      <c r="I71" s="226">
        <v>224</v>
      </c>
      <c r="J71" s="226">
        <v>0</v>
      </c>
      <c r="K71" s="226">
        <v>0</v>
      </c>
      <c r="L71" s="226">
        <v>0</v>
      </c>
      <c r="M71" s="226">
        <v>0</v>
      </c>
      <c r="N71" s="226">
        <v>0</v>
      </c>
      <c r="O71" s="226">
        <v>0</v>
      </c>
      <c r="P71" s="226">
        <v>0</v>
      </c>
      <c r="Q71" s="226"/>
      <c r="R71" s="229" t="s">
        <v>782</v>
      </c>
      <c r="S71" s="229" t="s">
        <v>773</v>
      </c>
      <c r="T71" s="229" t="str">
        <f t="shared" si="0"/>
        <v xml:space="preserve">
Almo Nature : pour chat difficile avec la viande ou le CMV</v>
      </c>
      <c r="U71" s="226">
        <v>1</v>
      </c>
      <c r="V71" s="226">
        <v>1</v>
      </c>
      <c r="W71" s="226">
        <v>1</v>
      </c>
      <c r="X71" s="226">
        <v>1</v>
      </c>
      <c r="Y71" s="226">
        <v>1</v>
      </c>
    </row>
    <row r="72" spans="1:25" ht="15.05" customHeight="1">
      <c r="A72" s="226" t="s">
        <v>807</v>
      </c>
      <c r="B72" s="226">
        <v>81.5</v>
      </c>
      <c r="C72" s="226">
        <v>16</v>
      </c>
      <c r="D72" s="226">
        <v>3</v>
      </c>
      <c r="E72" s="226">
        <v>2.9000000000000057</v>
      </c>
      <c r="F72" s="226">
        <v>1</v>
      </c>
      <c r="G72" s="226">
        <v>0.1</v>
      </c>
      <c r="H72" s="226">
        <v>1.33</v>
      </c>
      <c r="I72" s="226">
        <v>307</v>
      </c>
      <c r="J72" s="226">
        <v>0</v>
      </c>
      <c r="K72" s="226">
        <v>0</v>
      </c>
      <c r="L72" s="226">
        <v>0</v>
      </c>
      <c r="M72" s="226">
        <v>0</v>
      </c>
      <c r="N72" s="226">
        <v>0</v>
      </c>
      <c r="O72" s="226">
        <v>0</v>
      </c>
      <c r="P72" s="226">
        <v>0</v>
      </c>
      <c r="Q72" s="226"/>
      <c r="R72" s="229" t="s">
        <v>783</v>
      </c>
      <c r="S72" s="229" t="s">
        <v>773</v>
      </c>
      <c r="T72" s="229" t="str">
        <f t="shared" si="0"/>
        <v xml:space="preserve">
Almo Nature : pour chat difficile avec la viande ou le CMV</v>
      </c>
      <c r="U72" s="226">
        <v>1</v>
      </c>
      <c r="V72" s="226">
        <v>1</v>
      </c>
      <c r="W72" s="226">
        <v>1</v>
      </c>
      <c r="X72" s="226">
        <v>1</v>
      </c>
      <c r="Y72" s="226">
        <v>1</v>
      </c>
    </row>
    <row r="73" spans="1:25" ht="15.05" customHeight="1">
      <c r="A73" s="226" t="s">
        <v>808</v>
      </c>
      <c r="B73" s="226">
        <v>69.5</v>
      </c>
      <c r="C73" s="226">
        <v>13</v>
      </c>
      <c r="D73" s="226">
        <v>2</v>
      </c>
      <c r="E73" s="226">
        <v>3.7000000000000028</v>
      </c>
      <c r="F73" s="226">
        <v>1</v>
      </c>
      <c r="G73" s="226">
        <v>0.3</v>
      </c>
      <c r="H73" s="226">
        <v>1.33</v>
      </c>
      <c r="I73" s="226">
        <v>307</v>
      </c>
      <c r="J73" s="226">
        <v>0</v>
      </c>
      <c r="K73" s="226">
        <v>0</v>
      </c>
      <c r="L73" s="226">
        <v>0</v>
      </c>
      <c r="M73" s="226">
        <v>0</v>
      </c>
      <c r="N73" s="226">
        <v>0</v>
      </c>
      <c r="O73" s="226">
        <v>0</v>
      </c>
      <c r="P73" s="226">
        <v>0</v>
      </c>
      <c r="Q73" s="226"/>
      <c r="R73" s="229" t="s">
        <v>784</v>
      </c>
      <c r="S73" s="229" t="s">
        <v>773</v>
      </c>
      <c r="T73" s="229" t="str">
        <f t="shared" si="0"/>
        <v xml:space="preserve">
Almo Nature : pour chat difficile avec la viande ou le CMV</v>
      </c>
      <c r="U73" s="226">
        <v>1</v>
      </c>
      <c r="V73" s="226">
        <v>1</v>
      </c>
      <c r="W73" s="226">
        <v>1</v>
      </c>
      <c r="X73" s="226">
        <v>1</v>
      </c>
      <c r="Y73" s="226">
        <v>1</v>
      </c>
    </row>
    <row r="74" spans="1:25" ht="15.05" customHeight="1">
      <c r="A74" s="226" t="s">
        <v>809</v>
      </c>
      <c r="B74" s="226">
        <v>56.7</v>
      </c>
      <c r="C74" s="226">
        <v>15</v>
      </c>
      <c r="D74" s="226">
        <v>0.5</v>
      </c>
      <c r="E74" s="226">
        <v>1.4000000000000057</v>
      </c>
      <c r="F74" s="226">
        <v>1</v>
      </c>
      <c r="G74" s="226">
        <v>0.1</v>
      </c>
      <c r="H74" s="226">
        <v>1.33</v>
      </c>
      <c r="I74" s="226">
        <v>307</v>
      </c>
      <c r="J74" s="226">
        <v>0</v>
      </c>
      <c r="K74" s="226">
        <v>0</v>
      </c>
      <c r="L74" s="226">
        <v>0</v>
      </c>
      <c r="M74" s="226">
        <v>0</v>
      </c>
      <c r="N74" s="226">
        <v>0</v>
      </c>
      <c r="O74" s="226">
        <v>0</v>
      </c>
      <c r="P74" s="226">
        <v>0</v>
      </c>
      <c r="Q74" s="226"/>
      <c r="R74" s="229" t="s">
        <v>785</v>
      </c>
      <c r="S74" s="229" t="s">
        <v>773</v>
      </c>
      <c r="T74" s="229" t="str">
        <f t="shared" si="0"/>
        <v xml:space="preserve">
Almo Nature : pour chat difficile avec la viande ou le CMV</v>
      </c>
      <c r="U74" s="226">
        <v>1</v>
      </c>
      <c r="V74" s="226">
        <v>1</v>
      </c>
      <c r="W74" s="226">
        <v>1</v>
      </c>
      <c r="X74" s="226">
        <v>1</v>
      </c>
      <c r="Y74" s="226">
        <v>1</v>
      </c>
    </row>
    <row r="75" spans="1:25" ht="15.05" customHeight="1">
      <c r="A75" s="226" t="s">
        <v>810</v>
      </c>
      <c r="B75" s="226">
        <v>111</v>
      </c>
      <c r="C75" s="226">
        <v>10</v>
      </c>
      <c r="D75" s="226">
        <v>9</v>
      </c>
      <c r="E75" s="226">
        <v>2.9000000000000057</v>
      </c>
      <c r="F75" s="226">
        <v>1</v>
      </c>
      <c r="G75" s="226">
        <v>0.1</v>
      </c>
      <c r="H75" s="226">
        <v>12.9</v>
      </c>
      <c r="I75" s="226">
        <v>224</v>
      </c>
      <c r="J75" s="226">
        <v>0</v>
      </c>
      <c r="K75" s="226">
        <v>0</v>
      </c>
      <c r="L75" s="226">
        <v>0</v>
      </c>
      <c r="M75" s="226">
        <v>0</v>
      </c>
      <c r="N75" s="226">
        <v>0</v>
      </c>
      <c r="O75" s="226">
        <v>0</v>
      </c>
      <c r="P75" s="226">
        <v>0</v>
      </c>
      <c r="Q75" s="226"/>
      <c r="R75" s="229" t="s">
        <v>786</v>
      </c>
      <c r="S75" s="229" t="s">
        <v>773</v>
      </c>
      <c r="T75" s="229" t="str">
        <f t="shared" si="0"/>
        <v xml:space="preserve">
Almo Nature : pour chat difficile avec la viande ou le CMV</v>
      </c>
      <c r="U75" s="226">
        <v>1</v>
      </c>
      <c r="V75" s="226">
        <v>1</v>
      </c>
      <c r="W75" s="226">
        <v>1</v>
      </c>
      <c r="X75" s="226">
        <v>1</v>
      </c>
      <c r="Y75" s="226">
        <v>1</v>
      </c>
    </row>
    <row r="76" spans="1:25" ht="15.05" customHeight="1">
      <c r="A76" s="226" t="s">
        <v>811</v>
      </c>
      <c r="B76" s="226">
        <v>74.2</v>
      </c>
      <c r="C76" s="226">
        <v>15</v>
      </c>
      <c r="D76" s="226">
        <v>2</v>
      </c>
      <c r="E76" s="226">
        <v>0.90000000000000568</v>
      </c>
      <c r="F76" s="226">
        <v>1</v>
      </c>
      <c r="G76" s="226">
        <v>0.1</v>
      </c>
      <c r="H76" s="226">
        <v>12.9</v>
      </c>
      <c r="I76" s="226">
        <v>224</v>
      </c>
      <c r="J76" s="226">
        <v>0</v>
      </c>
      <c r="K76" s="226">
        <v>0</v>
      </c>
      <c r="L76" s="226">
        <v>0</v>
      </c>
      <c r="M76" s="226">
        <v>0</v>
      </c>
      <c r="N76" s="226">
        <v>0</v>
      </c>
      <c r="O76" s="226">
        <v>0</v>
      </c>
      <c r="P76" s="226">
        <v>0</v>
      </c>
      <c r="Q76" s="226"/>
      <c r="R76" s="229" t="s">
        <v>787</v>
      </c>
      <c r="S76" s="229" t="s">
        <v>773</v>
      </c>
      <c r="T76" s="229" t="str">
        <f t="shared" si="0"/>
        <v xml:space="preserve">
Almo Nature : pour chat difficile avec la viande ou le CMV</v>
      </c>
      <c r="U76" s="226">
        <v>1</v>
      </c>
      <c r="V76" s="226">
        <v>1</v>
      </c>
      <c r="W76" s="226">
        <v>1</v>
      </c>
      <c r="X76" s="226">
        <v>1</v>
      </c>
      <c r="Y76" s="226">
        <v>1</v>
      </c>
    </row>
    <row r="77" spans="1:25" ht="15.05" customHeight="1">
      <c r="A77" s="226" t="s">
        <v>797</v>
      </c>
      <c r="B77" s="226">
        <v>78.650000000000006</v>
      </c>
      <c r="C77" s="226">
        <v>18</v>
      </c>
      <c r="D77" s="226">
        <v>0.4</v>
      </c>
      <c r="E77" s="226">
        <v>3.5</v>
      </c>
      <c r="F77" s="226">
        <v>0.1</v>
      </c>
      <c r="G77" s="226">
        <v>1</v>
      </c>
      <c r="H77" s="226">
        <v>1.33</v>
      </c>
      <c r="I77" s="226">
        <v>307</v>
      </c>
      <c r="J77" s="226">
        <v>0</v>
      </c>
      <c r="K77" s="226">
        <v>0</v>
      </c>
      <c r="L77" s="226">
        <v>0</v>
      </c>
      <c r="M77" s="226">
        <v>0</v>
      </c>
      <c r="N77" s="226">
        <v>0</v>
      </c>
      <c r="O77" s="226">
        <v>0</v>
      </c>
      <c r="P77" s="226">
        <v>0</v>
      </c>
      <c r="Q77" s="226"/>
      <c r="R77" s="229" t="s">
        <v>812</v>
      </c>
      <c r="S77" s="229" t="s">
        <v>821</v>
      </c>
      <c r="T77" s="229" t="str">
        <f>"
Applaws : pour chat difficile avec la viande ou le CMV"</f>
        <v xml:space="preserve">
Applaws : pour chat difficile avec la viande ou le CMV</v>
      </c>
      <c r="U77" s="226">
        <v>1</v>
      </c>
      <c r="V77" s="226">
        <v>1</v>
      </c>
      <c r="W77" s="226">
        <v>1</v>
      </c>
      <c r="X77" s="226">
        <v>1</v>
      </c>
      <c r="Y77" s="226">
        <v>1</v>
      </c>
    </row>
    <row r="78" spans="1:25" ht="15.05" customHeight="1">
      <c r="A78" s="226" t="s">
        <v>824</v>
      </c>
      <c r="B78" s="226">
        <v>78.650000000000006</v>
      </c>
      <c r="C78" s="226">
        <v>18</v>
      </c>
      <c r="D78" s="226">
        <v>0.4</v>
      </c>
      <c r="E78" s="226">
        <v>3.5</v>
      </c>
      <c r="F78" s="226">
        <v>0.1</v>
      </c>
      <c r="G78" s="226">
        <v>1</v>
      </c>
      <c r="H78" s="226">
        <v>1.33</v>
      </c>
      <c r="I78" s="226">
        <v>307</v>
      </c>
      <c r="J78" s="226">
        <v>0</v>
      </c>
      <c r="K78" s="226">
        <v>0</v>
      </c>
      <c r="L78" s="226">
        <v>0</v>
      </c>
      <c r="M78" s="226">
        <v>0</v>
      </c>
      <c r="N78" s="226">
        <v>0</v>
      </c>
      <c r="O78" s="226">
        <v>0</v>
      </c>
      <c r="P78" s="226">
        <v>0</v>
      </c>
      <c r="Q78" s="226"/>
      <c r="R78" s="229" t="s">
        <v>813</v>
      </c>
      <c r="S78" s="229" t="s">
        <v>821</v>
      </c>
      <c r="T78" s="229" t="str">
        <f t="shared" ref="T78:T85" si="1">"
Applaws : pour chat difficile avec la viande ou le CMV"</f>
        <v xml:space="preserve">
Applaws : pour chat difficile avec la viande ou le CMV</v>
      </c>
      <c r="U78" s="226">
        <v>1</v>
      </c>
      <c r="V78" s="226">
        <v>1</v>
      </c>
      <c r="W78" s="226">
        <v>1</v>
      </c>
      <c r="X78" s="226">
        <v>1</v>
      </c>
      <c r="Y78" s="226">
        <v>1</v>
      </c>
    </row>
    <row r="79" spans="1:25" ht="15.05" customHeight="1">
      <c r="A79" s="226" t="s">
        <v>790</v>
      </c>
      <c r="B79" s="226">
        <v>65.55</v>
      </c>
      <c r="C79" s="226">
        <v>12</v>
      </c>
      <c r="D79" s="226">
        <v>0.3</v>
      </c>
      <c r="E79" s="226">
        <v>6</v>
      </c>
      <c r="F79" s="226">
        <v>0.2</v>
      </c>
      <c r="G79" s="226">
        <v>0.5</v>
      </c>
      <c r="H79" s="226">
        <v>12.9</v>
      </c>
      <c r="I79" s="226">
        <v>224</v>
      </c>
      <c r="J79" s="226">
        <v>0</v>
      </c>
      <c r="K79" s="226">
        <v>0</v>
      </c>
      <c r="L79" s="226">
        <v>0</v>
      </c>
      <c r="M79" s="226">
        <v>0</v>
      </c>
      <c r="N79" s="226">
        <v>0</v>
      </c>
      <c r="O79" s="226">
        <v>0</v>
      </c>
      <c r="P79" s="226">
        <v>0</v>
      </c>
      <c r="Q79" s="226"/>
      <c r="R79" s="229" t="s">
        <v>814</v>
      </c>
      <c r="S79" s="229" t="s">
        <v>821</v>
      </c>
      <c r="T79" s="229" t="str">
        <f t="shared" si="1"/>
        <v xml:space="preserve">
Applaws : pour chat difficile avec la viande ou le CMV</v>
      </c>
      <c r="U79" s="226">
        <v>1</v>
      </c>
      <c r="V79" s="226">
        <v>1</v>
      </c>
      <c r="W79" s="226">
        <v>1</v>
      </c>
      <c r="X79" s="226">
        <v>1</v>
      </c>
      <c r="Y79" s="226">
        <v>1</v>
      </c>
    </row>
    <row r="80" spans="1:25" ht="15.05" customHeight="1">
      <c r="A80" s="226" t="s">
        <v>791</v>
      </c>
      <c r="B80" s="226">
        <v>75.34999999999998</v>
      </c>
      <c r="C80" s="226">
        <v>19</v>
      </c>
      <c r="D80" s="226">
        <v>0.3</v>
      </c>
      <c r="E80" s="226">
        <v>1.7999999999999972</v>
      </c>
      <c r="F80" s="226">
        <v>0.2</v>
      </c>
      <c r="G80" s="226">
        <v>0.7</v>
      </c>
      <c r="H80" s="226">
        <v>12.9</v>
      </c>
      <c r="I80" s="226">
        <v>224</v>
      </c>
      <c r="J80" s="226">
        <v>0</v>
      </c>
      <c r="K80" s="226">
        <v>0</v>
      </c>
      <c r="L80" s="226">
        <v>0</v>
      </c>
      <c r="M80" s="226">
        <v>0</v>
      </c>
      <c r="N80" s="226">
        <v>0</v>
      </c>
      <c r="O80" s="226">
        <v>0</v>
      </c>
      <c r="P80" s="226">
        <v>0</v>
      </c>
      <c r="Q80" s="226"/>
      <c r="R80" s="229" t="s">
        <v>815</v>
      </c>
      <c r="S80" s="229" t="s">
        <v>821</v>
      </c>
      <c r="T80" s="229" t="str">
        <f t="shared" si="1"/>
        <v xml:space="preserve">
Applaws : pour chat difficile avec la viande ou le CMV</v>
      </c>
      <c r="U80" s="226">
        <v>1</v>
      </c>
      <c r="V80" s="226">
        <v>1</v>
      </c>
      <c r="W80" s="226">
        <v>1</v>
      </c>
      <c r="X80" s="226">
        <v>1</v>
      </c>
      <c r="Y80" s="226">
        <v>1</v>
      </c>
    </row>
    <row r="81" spans="1:25" ht="15.05" customHeight="1">
      <c r="A81" s="226" t="s">
        <v>792</v>
      </c>
      <c r="B81" s="226">
        <v>84.40000000000002</v>
      </c>
      <c r="C81" s="226">
        <v>20</v>
      </c>
      <c r="D81" s="226">
        <v>0.5</v>
      </c>
      <c r="E81" s="226">
        <v>2.9000000000000057</v>
      </c>
      <c r="F81" s="226">
        <v>0.1</v>
      </c>
      <c r="G81" s="226">
        <v>0.5</v>
      </c>
      <c r="H81" s="226">
        <v>12.9</v>
      </c>
      <c r="I81" s="226">
        <v>224</v>
      </c>
      <c r="J81" s="226">
        <v>0</v>
      </c>
      <c r="K81" s="226">
        <v>0</v>
      </c>
      <c r="L81" s="226">
        <v>0</v>
      </c>
      <c r="M81" s="226">
        <v>0</v>
      </c>
      <c r="N81" s="226">
        <v>0</v>
      </c>
      <c r="O81" s="226">
        <v>0</v>
      </c>
      <c r="P81" s="226">
        <v>0</v>
      </c>
      <c r="Q81" s="226"/>
      <c r="R81" s="229" t="s">
        <v>816</v>
      </c>
      <c r="S81" s="229" t="s">
        <v>821</v>
      </c>
      <c r="T81" s="229" t="str">
        <f t="shared" si="1"/>
        <v xml:space="preserve">
Applaws : pour chat difficile avec la viande ou le CMV</v>
      </c>
      <c r="U81" s="226">
        <v>1</v>
      </c>
      <c r="V81" s="226">
        <v>1</v>
      </c>
      <c r="W81" s="226">
        <v>1</v>
      </c>
      <c r="X81" s="226">
        <v>1</v>
      </c>
      <c r="Y81" s="226">
        <v>1</v>
      </c>
    </row>
    <row r="82" spans="1:25" ht="15.05" customHeight="1">
      <c r="A82" s="226" t="s">
        <v>793</v>
      </c>
      <c r="B82" s="226">
        <v>54</v>
      </c>
      <c r="C82" s="226">
        <v>11</v>
      </c>
      <c r="D82" s="226">
        <v>1</v>
      </c>
      <c r="E82" s="226">
        <v>2</v>
      </c>
      <c r="F82" s="226">
        <v>0.5</v>
      </c>
      <c r="G82" s="226">
        <v>0.5</v>
      </c>
      <c r="H82" s="226">
        <v>12.9</v>
      </c>
      <c r="I82" s="226">
        <v>224</v>
      </c>
      <c r="J82" s="226">
        <v>0</v>
      </c>
      <c r="K82" s="226">
        <v>0</v>
      </c>
      <c r="L82" s="226">
        <v>0</v>
      </c>
      <c r="M82" s="226">
        <v>0</v>
      </c>
      <c r="N82" s="226">
        <v>0</v>
      </c>
      <c r="O82" s="226">
        <v>0</v>
      </c>
      <c r="P82" s="226">
        <v>0</v>
      </c>
      <c r="Q82" s="226"/>
      <c r="R82" s="229" t="s">
        <v>817</v>
      </c>
      <c r="S82" s="229" t="s">
        <v>822</v>
      </c>
      <c r="T82" s="229" t="str">
        <f t="shared" si="1"/>
        <v xml:space="preserve">
Applaws : pour chat difficile avec la viande ou le CMV</v>
      </c>
      <c r="U82" s="226">
        <v>1</v>
      </c>
      <c r="V82" s="226">
        <v>1</v>
      </c>
      <c r="W82" s="226">
        <v>1</v>
      </c>
      <c r="X82" s="226">
        <v>1</v>
      </c>
      <c r="Y82" s="226">
        <v>1</v>
      </c>
    </row>
    <row r="83" spans="1:25" ht="15.05" customHeight="1">
      <c r="A83" s="226" t="s">
        <v>794</v>
      </c>
      <c r="B83" s="226">
        <v>54</v>
      </c>
      <c r="C83" s="226">
        <v>11</v>
      </c>
      <c r="D83" s="226">
        <v>1</v>
      </c>
      <c r="E83" s="226">
        <v>2</v>
      </c>
      <c r="F83" s="226">
        <v>0.5</v>
      </c>
      <c r="G83" s="226">
        <v>0.5</v>
      </c>
      <c r="H83" s="226">
        <v>1.33</v>
      </c>
      <c r="I83" s="226">
        <v>307</v>
      </c>
      <c r="J83" s="226">
        <v>0</v>
      </c>
      <c r="K83" s="226">
        <v>0</v>
      </c>
      <c r="L83" s="226">
        <v>0</v>
      </c>
      <c r="M83" s="226">
        <v>0</v>
      </c>
      <c r="N83" s="226">
        <v>0</v>
      </c>
      <c r="O83" s="226">
        <v>0</v>
      </c>
      <c r="P83" s="226">
        <v>0</v>
      </c>
      <c r="Q83" s="226"/>
      <c r="R83" s="229" t="s">
        <v>818</v>
      </c>
      <c r="S83" s="229" t="s">
        <v>822</v>
      </c>
      <c r="T83" s="229" t="str">
        <f t="shared" si="1"/>
        <v xml:space="preserve">
Applaws : pour chat difficile avec la viande ou le CMV</v>
      </c>
      <c r="U83" s="226">
        <v>1</v>
      </c>
      <c r="V83" s="226">
        <v>1</v>
      </c>
      <c r="W83" s="226">
        <v>1</v>
      </c>
      <c r="X83" s="226">
        <v>1</v>
      </c>
      <c r="Y83" s="226">
        <v>1</v>
      </c>
    </row>
    <row r="84" spans="1:25" ht="15.05" customHeight="1">
      <c r="A84" s="226" t="s">
        <v>795</v>
      </c>
      <c r="B84" s="226">
        <v>51.5</v>
      </c>
      <c r="C84" s="226">
        <v>11</v>
      </c>
      <c r="D84" s="226">
        <v>0.5</v>
      </c>
      <c r="E84" s="226">
        <v>2.5</v>
      </c>
      <c r="F84" s="226">
        <v>0.5</v>
      </c>
      <c r="G84" s="226">
        <v>0.5</v>
      </c>
      <c r="H84" s="226">
        <v>12.9</v>
      </c>
      <c r="I84" s="226">
        <v>224</v>
      </c>
      <c r="J84" s="226">
        <v>0</v>
      </c>
      <c r="K84" s="226">
        <v>0</v>
      </c>
      <c r="L84" s="226">
        <v>0</v>
      </c>
      <c r="M84" s="226">
        <v>0</v>
      </c>
      <c r="N84" s="226">
        <v>0</v>
      </c>
      <c r="O84" s="226">
        <v>0</v>
      </c>
      <c r="P84" s="226">
        <v>0</v>
      </c>
      <c r="Q84" s="226"/>
      <c r="R84" s="229" t="s">
        <v>819</v>
      </c>
      <c r="S84" s="229" t="s">
        <v>822</v>
      </c>
      <c r="T84" s="229" t="str">
        <f t="shared" si="1"/>
        <v xml:space="preserve">
Applaws : pour chat difficile avec la viande ou le CMV</v>
      </c>
      <c r="U84" s="226">
        <v>1</v>
      </c>
      <c r="V84" s="226">
        <v>1</v>
      </c>
      <c r="W84" s="226">
        <v>1</v>
      </c>
      <c r="X84" s="226">
        <v>1</v>
      </c>
      <c r="Y84" s="226">
        <v>1</v>
      </c>
    </row>
    <row r="85" spans="1:25" ht="15.05" customHeight="1">
      <c r="A85" s="226" t="s">
        <v>796</v>
      </c>
      <c r="B85" s="226">
        <v>54</v>
      </c>
      <c r="C85" s="226">
        <v>11</v>
      </c>
      <c r="D85" s="226">
        <v>1</v>
      </c>
      <c r="E85" s="226">
        <v>2</v>
      </c>
      <c r="F85" s="226">
        <v>0.5</v>
      </c>
      <c r="G85" s="226">
        <v>0.5</v>
      </c>
      <c r="H85" s="226">
        <v>12.9</v>
      </c>
      <c r="I85" s="226">
        <v>224</v>
      </c>
      <c r="J85" s="226">
        <v>0</v>
      </c>
      <c r="K85" s="226">
        <v>0</v>
      </c>
      <c r="L85" s="226">
        <v>0</v>
      </c>
      <c r="M85" s="226">
        <v>0</v>
      </c>
      <c r="N85" s="226">
        <v>0</v>
      </c>
      <c r="O85" s="226">
        <v>0</v>
      </c>
      <c r="P85" s="226">
        <v>0</v>
      </c>
      <c r="Q85" s="226"/>
      <c r="R85" s="229" t="s">
        <v>820</v>
      </c>
      <c r="S85" s="229" t="s">
        <v>822</v>
      </c>
      <c r="T85" s="229" t="str">
        <f t="shared" si="1"/>
        <v xml:space="preserve">
Applaws : pour chat difficile avec la viande ou le CMV</v>
      </c>
      <c r="U85" s="226">
        <v>1</v>
      </c>
      <c r="V85" s="226">
        <v>1</v>
      </c>
      <c r="W85" s="226">
        <v>1</v>
      </c>
      <c r="X85" s="226">
        <v>1</v>
      </c>
      <c r="Y85" s="226">
        <v>1</v>
      </c>
    </row>
    <row r="86" spans="1:25" ht="15.05" customHeight="1">
      <c r="A86" s="226" t="s">
        <v>823</v>
      </c>
      <c r="B86" s="226">
        <v>51.54999999999999</v>
      </c>
      <c r="C86" s="226">
        <v>11</v>
      </c>
      <c r="D86" s="226">
        <v>1</v>
      </c>
      <c r="E86" s="226">
        <v>1.2999999999999972</v>
      </c>
      <c r="F86" s="226">
        <v>0.6</v>
      </c>
      <c r="G86" s="226">
        <v>0.1</v>
      </c>
      <c r="H86" s="226">
        <v>12.9</v>
      </c>
      <c r="I86" s="226">
        <v>224</v>
      </c>
      <c r="J86" s="226">
        <v>0</v>
      </c>
      <c r="K86" s="226">
        <v>0</v>
      </c>
      <c r="L86" s="226">
        <v>0</v>
      </c>
      <c r="M86" s="226">
        <v>0</v>
      </c>
      <c r="N86" s="226">
        <v>0</v>
      </c>
      <c r="O86" s="226">
        <v>0</v>
      </c>
      <c r="P86" s="226">
        <v>0</v>
      </c>
      <c r="Q86" s="226"/>
      <c r="R86" s="229" t="s">
        <v>825</v>
      </c>
      <c r="S86" s="229" t="s">
        <v>826</v>
      </c>
      <c r="T86" s="229" t="str">
        <f>"
Cosma : pour chat difficile avec la viande ou le CMV"</f>
        <v xml:space="preserve">
Cosma : pour chat difficile avec la viande ou le CMV</v>
      </c>
      <c r="U86" s="226">
        <v>1</v>
      </c>
      <c r="V86" s="226">
        <v>1</v>
      </c>
      <c r="W86" s="226">
        <v>1</v>
      </c>
      <c r="X86" s="226">
        <v>1</v>
      </c>
      <c r="Y86" s="226">
        <v>1</v>
      </c>
    </row>
    <row r="87" spans="1:25">
      <c r="A87" s="226" t="s">
        <v>827</v>
      </c>
      <c r="B87" s="226">
        <v>97.45</v>
      </c>
      <c r="C87" s="226">
        <v>12.09</v>
      </c>
      <c r="D87" s="226">
        <v>6.1</v>
      </c>
      <c r="E87" s="226">
        <v>0.94</v>
      </c>
      <c r="F87" s="226">
        <v>0.49</v>
      </c>
      <c r="G87" s="226">
        <v>2</v>
      </c>
      <c r="H87" s="226">
        <v>7.15</v>
      </c>
      <c r="I87" s="226">
        <v>200</v>
      </c>
      <c r="J87" s="226">
        <v>0</v>
      </c>
      <c r="K87" s="226">
        <v>0</v>
      </c>
      <c r="L87" s="226">
        <v>0</v>
      </c>
      <c r="M87" s="226">
        <v>0</v>
      </c>
      <c r="N87" s="226">
        <v>0</v>
      </c>
      <c r="O87" s="226">
        <v>0</v>
      </c>
      <c r="P87" s="226">
        <v>0</v>
      </c>
      <c r="Q87" s="226"/>
      <c r="R87" s="229" t="s">
        <v>831</v>
      </c>
      <c r="S87" s="229" t="s">
        <v>835</v>
      </c>
      <c r="T87" s="229" t="str">
        <f>"
Hermann's : pour chat difficile avec la viande ou le CMV"</f>
        <v xml:space="preserve">
Hermann's : pour chat difficile avec la viande ou le CMV</v>
      </c>
      <c r="U87" s="226">
        <v>1</v>
      </c>
      <c r="V87" s="226">
        <v>1</v>
      </c>
      <c r="W87" s="226">
        <v>1</v>
      </c>
      <c r="X87" s="226">
        <v>1</v>
      </c>
      <c r="Y87" s="226">
        <v>1</v>
      </c>
    </row>
    <row r="88" spans="1:25">
      <c r="A88" s="226" t="s">
        <v>828</v>
      </c>
      <c r="B88" s="226">
        <v>131.94999999999999</v>
      </c>
      <c r="C88" s="226">
        <v>12.2</v>
      </c>
      <c r="D88" s="226">
        <v>10.5</v>
      </c>
      <c r="E88" s="226">
        <v>0</v>
      </c>
      <c r="F88" s="226">
        <v>0.52</v>
      </c>
      <c r="G88" s="226">
        <v>2.1</v>
      </c>
      <c r="H88" s="226">
        <v>10</v>
      </c>
      <c r="I88" s="226">
        <v>185</v>
      </c>
      <c r="J88" s="226">
        <v>0</v>
      </c>
      <c r="K88" s="226">
        <v>0</v>
      </c>
      <c r="L88" s="226">
        <v>0</v>
      </c>
      <c r="M88" s="226">
        <v>0</v>
      </c>
      <c r="N88" s="226">
        <v>0</v>
      </c>
      <c r="O88" s="226">
        <v>0</v>
      </c>
      <c r="P88" s="226">
        <v>0</v>
      </c>
      <c r="Q88" s="226"/>
      <c r="R88" s="229" t="s">
        <v>832</v>
      </c>
      <c r="S88" s="229" t="s">
        <v>835</v>
      </c>
      <c r="T88" s="229" t="str">
        <f>"
Hermann's : pour chat difficile avec la viande ou le CMV"</f>
        <v xml:space="preserve">
Hermann's : pour chat difficile avec la viande ou le CMV</v>
      </c>
      <c r="U88" s="226">
        <v>1</v>
      </c>
      <c r="V88" s="226">
        <v>1</v>
      </c>
      <c r="W88" s="226">
        <v>1</v>
      </c>
      <c r="X88" s="226">
        <v>1</v>
      </c>
      <c r="Y88" s="226">
        <v>1</v>
      </c>
    </row>
    <row r="89" spans="1:25">
      <c r="A89" s="226" t="s">
        <v>829</v>
      </c>
      <c r="B89" s="226">
        <v>69.15000000000002</v>
      </c>
      <c r="C89" s="226">
        <v>14.5</v>
      </c>
      <c r="D89" s="226">
        <v>2</v>
      </c>
      <c r="E89" s="226">
        <v>0.40000000000000568</v>
      </c>
      <c r="F89" s="226">
        <v>1</v>
      </c>
      <c r="G89" s="226">
        <v>0.1</v>
      </c>
      <c r="H89" s="226">
        <v>1.33</v>
      </c>
      <c r="I89" s="226">
        <v>307</v>
      </c>
      <c r="J89" s="226">
        <v>0</v>
      </c>
      <c r="K89" s="226">
        <v>0</v>
      </c>
      <c r="L89" s="226">
        <v>0</v>
      </c>
      <c r="M89" s="226">
        <v>0</v>
      </c>
      <c r="N89" s="226">
        <v>0</v>
      </c>
      <c r="O89" s="226">
        <v>0</v>
      </c>
      <c r="P89" s="226">
        <v>0</v>
      </c>
      <c r="Q89" s="226"/>
      <c r="R89" s="229" t="s">
        <v>833</v>
      </c>
      <c r="S89" s="229" t="s">
        <v>836</v>
      </c>
      <c r="T89" s="229" t="str">
        <f>"
Schesir : pour chat difficile avec la viande ou le CMV"</f>
        <v xml:space="preserve">
Schesir : pour chat difficile avec la viande ou le CMV</v>
      </c>
      <c r="U89" s="226">
        <v>1</v>
      </c>
      <c r="V89" s="226">
        <v>1</v>
      </c>
      <c r="W89" s="226">
        <v>1</v>
      </c>
      <c r="X89" s="226">
        <v>1</v>
      </c>
      <c r="Y89" s="226">
        <v>1</v>
      </c>
    </row>
    <row r="90" spans="1:25">
      <c r="A90" s="226" t="s">
        <v>830</v>
      </c>
      <c r="B90" s="226">
        <v>68.75</v>
      </c>
      <c r="C90" s="226">
        <v>16</v>
      </c>
      <c r="D90" s="226">
        <v>1.5</v>
      </c>
      <c r="E90" s="226">
        <v>0</v>
      </c>
      <c r="F90" s="226">
        <v>1</v>
      </c>
      <c r="G90" s="226">
        <v>0.1</v>
      </c>
      <c r="H90" s="226">
        <v>12.9</v>
      </c>
      <c r="I90" s="226">
        <v>224</v>
      </c>
      <c r="J90" s="226">
        <v>0</v>
      </c>
      <c r="K90" s="226">
        <v>0</v>
      </c>
      <c r="L90" s="226">
        <v>0</v>
      </c>
      <c r="M90" s="226">
        <v>0</v>
      </c>
      <c r="N90" s="226">
        <v>0</v>
      </c>
      <c r="O90" s="226">
        <v>0</v>
      </c>
      <c r="P90" s="226">
        <v>0</v>
      </c>
      <c r="Q90" s="226"/>
      <c r="R90" s="229" t="s">
        <v>834</v>
      </c>
      <c r="S90" s="229" t="s">
        <v>836</v>
      </c>
      <c r="T90" s="229" t="str">
        <f>"
Schesir : pour chat difficile avec la viande ou le CMV"</f>
        <v xml:space="preserve">
Schesir : pour chat difficile avec la viande ou le CMV</v>
      </c>
      <c r="U90" s="226">
        <v>1</v>
      </c>
      <c r="V90" s="226">
        <v>1</v>
      </c>
      <c r="W90" s="226">
        <v>1</v>
      </c>
      <c r="X90" s="226">
        <v>1</v>
      </c>
      <c r="Y90" s="226">
        <v>1</v>
      </c>
    </row>
    <row r="91" spans="1:25">
      <c r="A91" s="226"/>
      <c r="B91" s="226"/>
      <c r="C91" s="226"/>
      <c r="D91" s="226"/>
      <c r="E91" s="226"/>
      <c r="F91" s="226"/>
      <c r="G91" s="226"/>
      <c r="H91" s="226"/>
      <c r="I91" s="226"/>
      <c r="J91" s="226"/>
      <c r="K91" s="226"/>
      <c r="L91" s="226"/>
      <c r="M91" s="226"/>
      <c r="N91" s="226"/>
      <c r="O91" s="226"/>
      <c r="P91" s="226"/>
      <c r="Q91" s="226"/>
      <c r="Y91" s="226"/>
    </row>
    <row r="92" spans="1:25">
      <c r="A92" s="226"/>
      <c r="B92" s="226"/>
      <c r="C92" s="226"/>
      <c r="D92" s="226"/>
      <c r="E92" s="226"/>
      <c r="F92" s="226"/>
      <c r="G92" s="226"/>
      <c r="H92" s="226"/>
      <c r="I92" s="226"/>
      <c r="J92" s="226"/>
      <c r="K92" s="226"/>
      <c r="L92" s="226"/>
      <c r="M92" s="226"/>
      <c r="N92" s="226"/>
      <c r="O92" s="226"/>
      <c r="P92" s="226"/>
      <c r="Q92" s="226"/>
      <c r="Y92" s="226"/>
    </row>
    <row r="93" spans="1:25">
      <c r="A93" s="226"/>
      <c r="B93" s="226"/>
      <c r="C93" s="226"/>
      <c r="D93" s="226"/>
      <c r="E93" s="226"/>
      <c r="F93" s="226"/>
      <c r="G93" s="226"/>
      <c r="H93" s="226"/>
      <c r="I93" s="226"/>
      <c r="J93" s="226"/>
      <c r="K93" s="226"/>
      <c r="L93" s="226"/>
      <c r="M93" s="226"/>
      <c r="N93" s="226"/>
      <c r="O93" s="226"/>
      <c r="P93" s="226"/>
      <c r="Q93" s="226"/>
      <c r="Y93" s="226"/>
    </row>
    <row r="94" spans="1:25">
      <c r="A94" s="226"/>
      <c r="B94" s="226"/>
      <c r="C94" s="226"/>
      <c r="D94" s="226" t="s">
        <v>886</v>
      </c>
      <c r="E94" s="226"/>
      <c r="F94" s="226"/>
      <c r="G94" s="231" t="s">
        <v>436</v>
      </c>
      <c r="H94" s="231"/>
      <c r="I94" s="231"/>
      <c r="J94" s="236" t="s">
        <v>500</v>
      </c>
      <c r="K94" s="236"/>
      <c r="L94" s="226"/>
      <c r="M94" s="226"/>
      <c r="N94" s="226"/>
      <c r="O94" s="226"/>
      <c r="P94" s="226"/>
      <c r="Q94" s="226"/>
      <c r="Y94" s="226"/>
    </row>
    <row r="95" spans="1:25">
      <c r="A95" s="226"/>
      <c r="B95" s="226"/>
      <c r="C95" s="226"/>
      <c r="D95" s="232">
        <v>45457</v>
      </c>
      <c r="E95" s="226"/>
      <c r="F95" s="226"/>
      <c r="G95" s="231"/>
      <c r="H95" s="231"/>
      <c r="I95" s="231"/>
      <c r="J95" s="236"/>
      <c r="K95" s="236"/>
      <c r="L95" s="226"/>
      <c r="M95" s="226"/>
      <c r="N95" s="226"/>
      <c r="O95" s="226"/>
      <c r="P95" s="226"/>
      <c r="Q95" s="226"/>
      <c r="Y95" s="226"/>
    </row>
    <row r="96" spans="1:25">
      <c r="A96" s="226"/>
      <c r="B96" s="226"/>
      <c r="C96" s="226"/>
      <c r="D96" s="226"/>
      <c r="E96" s="226"/>
      <c r="F96" s="226"/>
      <c r="G96" s="231"/>
      <c r="H96" s="231"/>
      <c r="I96" s="231"/>
      <c r="J96" s="236"/>
      <c r="K96" s="236"/>
      <c r="L96" s="226"/>
      <c r="M96" s="226"/>
      <c r="N96" s="226"/>
      <c r="O96" s="226"/>
      <c r="P96" s="226"/>
      <c r="Q96" s="226"/>
      <c r="Y96" s="226"/>
    </row>
    <row r="97" spans="1:25">
      <c r="A97" s="226"/>
      <c r="B97" s="226"/>
      <c r="C97" s="226"/>
      <c r="D97" s="226"/>
      <c r="E97" s="226"/>
      <c r="F97" s="226"/>
      <c r="G97" s="226"/>
      <c r="H97" s="226"/>
      <c r="I97" s="226"/>
      <c r="J97" s="226"/>
      <c r="K97" s="226"/>
      <c r="L97" s="226"/>
      <c r="M97" s="226"/>
      <c r="N97" s="226"/>
      <c r="O97" s="226"/>
      <c r="P97" s="226"/>
      <c r="Q97" s="226"/>
      <c r="Y97" s="226"/>
    </row>
    <row r="98" spans="1:25">
      <c r="A98" s="226"/>
      <c r="B98" s="226"/>
      <c r="C98" s="226"/>
      <c r="D98" s="226"/>
      <c r="E98" s="226"/>
      <c r="F98" s="226"/>
      <c r="G98" s="226"/>
      <c r="H98" s="226"/>
      <c r="I98" s="226"/>
      <c r="J98" s="226"/>
      <c r="K98" s="226"/>
      <c r="L98" s="226"/>
      <c r="M98" s="226"/>
      <c r="N98" s="226"/>
      <c r="O98" s="226"/>
      <c r="P98" s="226"/>
      <c r="Q98" s="226"/>
      <c r="Y98" s="226"/>
    </row>
    <row r="99" spans="1:25">
      <c r="A99" s="226"/>
      <c r="B99" s="226"/>
      <c r="C99" s="226"/>
      <c r="D99" s="226"/>
      <c r="E99" s="226"/>
      <c r="F99" s="226"/>
      <c r="G99" s="226"/>
      <c r="H99" s="226"/>
      <c r="I99" s="226"/>
      <c r="J99" s="226"/>
      <c r="K99" s="226"/>
      <c r="L99" s="226"/>
      <c r="M99" s="226"/>
      <c r="N99" s="226"/>
      <c r="O99" s="226"/>
      <c r="P99" s="226"/>
      <c r="Q99" s="226"/>
      <c r="Y99" s="226"/>
    </row>
    <row r="100" spans="1:25">
      <c r="E100" s="237" t="s">
        <v>501</v>
      </c>
    </row>
    <row r="102" spans="1:25">
      <c r="E102" s="237"/>
    </row>
    <row r="104" spans="1:25" ht="15.05" customHeight="1"/>
  </sheetData>
  <sheetProtection algorithmName="SHA-512" hashValue="upmFNXrm3iuX5eSAowBSxwhRp6Jd+c8aaU10lLiXPKoH4iJPK9KZWE5Obmrf1K+HY1KUTSf79f2N+WVPbhRLOA==" saltValue="WDoJ3DgcWjV5LMuWuwBrTA==" spinCount="100000" sheet="1" objects="1" scenarios="1" selectLockedCells="1" selectUnlockedCells="1"/>
  <mergeCells count="2">
    <mergeCell ref="G94:I96"/>
    <mergeCell ref="J94:K96"/>
  </mergeCells>
  <conditionalFormatting sqref="Y2:Y44 Y46:Y62">
    <cfRule type="cellIs" dxfId="1" priority="11" stopIfTrue="1" operator="equal">
      <formula>0</formula>
    </cfRule>
  </conditionalFormatting>
  <conditionalFormatting sqref="H2:I51">
    <cfRule type="cellIs" dxfId="0" priority="1" stopIfTrue="1" operator="equal">
      <formula>0</formula>
    </cfRule>
  </conditionalFormatting>
  <pageMargins left="0.7" right="0.7" top="0.75" bottom="0.75" header="0.3" footer="0.3"/>
  <pageSetup paperSize="9" orientation="portrait" r:id="rId1"/>
  <ignoredErrors>
    <ignoredError sqref="Q2:AC21 B96:AC100 B95:C95 E95:AC95 Q28:AC51 Q22 S22:AC22 Q23 S23:AC23 Q24:AC27 B91:AC94 Q52:AC53 Q54:AC9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22EDD-A32D-4B47-9F9C-EE9643269833}">
  <dimension ref="A1:AC66"/>
  <sheetViews>
    <sheetView zoomScaleNormal="100" workbookViewId="0">
      <selection sqref="A1:IV65536"/>
    </sheetView>
  </sheetViews>
  <sheetFormatPr baseColWidth="10" defaultRowHeight="15.05"/>
  <cols>
    <col min="1" max="1" width="30.6640625" style="227" customWidth="1"/>
    <col min="2" max="6" width="11.5546875" style="227"/>
    <col min="7" max="7" width="11.5546875" style="227" customWidth="1"/>
    <col min="8" max="17" width="11.5546875" style="227"/>
    <col min="18" max="19" width="11.5546875" style="227" customWidth="1"/>
    <col min="20" max="20" width="40.6640625" style="227" customWidth="1"/>
    <col min="21" max="16384" width="11.5546875" style="227"/>
  </cols>
  <sheetData>
    <row r="1" spans="1:29" ht="18.350000000000001">
      <c r="A1" s="226" t="s">
        <v>252</v>
      </c>
      <c r="B1" s="226" t="s">
        <v>3</v>
      </c>
      <c r="C1" s="226" t="s">
        <v>15</v>
      </c>
      <c r="D1" s="226" t="s">
        <v>16</v>
      </c>
      <c r="E1" s="226" t="s">
        <v>17</v>
      </c>
      <c r="F1" s="226" t="s">
        <v>18</v>
      </c>
      <c r="G1" s="226" t="s">
        <v>19</v>
      </c>
      <c r="H1" s="226" t="s">
        <v>20</v>
      </c>
      <c r="I1" s="226" t="s">
        <v>21</v>
      </c>
      <c r="J1" s="226" t="s">
        <v>34</v>
      </c>
      <c r="K1" s="226" t="s">
        <v>37</v>
      </c>
      <c r="L1" s="226" t="s">
        <v>52</v>
      </c>
      <c r="M1" s="226" t="s">
        <v>53</v>
      </c>
      <c r="N1" s="226" t="s">
        <v>54</v>
      </c>
      <c r="O1" s="226" t="s">
        <v>427</v>
      </c>
      <c r="P1" s="226" t="s">
        <v>428</v>
      </c>
      <c r="Q1" s="226" t="s">
        <v>429</v>
      </c>
      <c r="R1" s="226" t="s">
        <v>92</v>
      </c>
      <c r="S1" s="226" t="s">
        <v>159</v>
      </c>
      <c r="T1" s="226" t="s">
        <v>238</v>
      </c>
      <c r="AA1" s="228"/>
      <c r="AB1" s="228"/>
      <c r="AC1" s="228"/>
    </row>
    <row r="2" spans="1:29" ht="15.05" customHeight="1">
      <c r="A2" s="226" t="s">
        <v>103</v>
      </c>
      <c r="B2" s="226">
        <v>0</v>
      </c>
      <c r="C2" s="226">
        <v>0</v>
      </c>
      <c r="D2" s="226">
        <v>0</v>
      </c>
      <c r="E2" s="226">
        <v>0</v>
      </c>
      <c r="F2" s="226">
        <v>0</v>
      </c>
      <c r="G2" s="226">
        <v>0</v>
      </c>
      <c r="H2" s="226">
        <v>0</v>
      </c>
      <c r="I2" s="226">
        <v>0</v>
      </c>
      <c r="J2" s="226">
        <v>0</v>
      </c>
      <c r="K2" s="226">
        <v>0</v>
      </c>
      <c r="L2" s="226">
        <v>0</v>
      </c>
      <c r="M2" s="226">
        <v>0</v>
      </c>
      <c r="N2" s="226">
        <v>0</v>
      </c>
      <c r="O2" s="226">
        <v>0</v>
      </c>
      <c r="P2" s="226">
        <v>0</v>
      </c>
      <c r="Q2" s="226"/>
      <c r="R2" s="226">
        <v>0</v>
      </c>
      <c r="S2" s="226">
        <v>0</v>
      </c>
      <c r="T2" s="229"/>
      <c r="AA2" s="228"/>
      <c r="AB2" s="228"/>
      <c r="AC2" s="228"/>
    </row>
    <row r="3" spans="1:29" ht="15.05" customHeight="1">
      <c r="A3" s="226" t="s">
        <v>725</v>
      </c>
      <c r="B3" s="226">
        <v>154</v>
      </c>
      <c r="C3" s="226">
        <v>13.1</v>
      </c>
      <c r="D3" s="226">
        <v>11.1</v>
      </c>
      <c r="E3" s="226">
        <v>0.41</v>
      </c>
      <c r="F3" s="226">
        <v>1.1000000000000001</v>
      </c>
      <c r="G3" s="226">
        <v>0</v>
      </c>
      <c r="H3" s="226">
        <v>64</v>
      </c>
      <c r="I3" s="226">
        <v>226</v>
      </c>
      <c r="J3" s="226">
        <v>0.35</v>
      </c>
      <c r="K3" s="226">
        <v>0</v>
      </c>
      <c r="L3" s="226">
        <v>0</v>
      </c>
      <c r="M3" s="226">
        <v>0</v>
      </c>
      <c r="N3" s="226">
        <v>0</v>
      </c>
      <c r="O3" s="226">
        <v>0</v>
      </c>
      <c r="P3" s="226">
        <v>0</v>
      </c>
      <c r="Q3" s="226"/>
      <c r="R3" s="226">
        <v>9.8000000000000007</v>
      </c>
      <c r="S3" s="226">
        <v>1</v>
      </c>
      <c r="T3" s="229" t="s">
        <v>744</v>
      </c>
      <c r="AA3" s="228"/>
      <c r="AB3" s="228"/>
      <c r="AC3" s="228"/>
    </row>
    <row r="4" spans="1:29" ht="15.05" customHeight="1">
      <c r="A4" s="226" t="s">
        <v>726</v>
      </c>
      <c r="B4" s="226">
        <v>154</v>
      </c>
      <c r="C4" s="226">
        <v>13.1</v>
      </c>
      <c r="D4" s="226">
        <v>11.1</v>
      </c>
      <c r="E4" s="226">
        <v>0.41</v>
      </c>
      <c r="F4" s="226">
        <v>1.1000000000000001</v>
      </c>
      <c r="G4" s="226">
        <v>0</v>
      </c>
      <c r="H4" s="226">
        <v>64</v>
      </c>
      <c r="I4" s="226">
        <v>226</v>
      </c>
      <c r="J4" s="226">
        <v>0.35</v>
      </c>
      <c r="K4" s="226">
        <v>0</v>
      </c>
      <c r="L4" s="226">
        <v>0</v>
      </c>
      <c r="M4" s="226">
        <v>0</v>
      </c>
      <c r="N4" s="226">
        <v>0</v>
      </c>
      <c r="O4" s="226">
        <v>0</v>
      </c>
      <c r="P4" s="226">
        <v>0</v>
      </c>
      <c r="Q4" s="226"/>
      <c r="R4" s="226">
        <v>19.600000000000001</v>
      </c>
      <c r="S4" s="226">
        <v>2</v>
      </c>
      <c r="T4" s="229" t="s">
        <v>743</v>
      </c>
      <c r="AA4" s="228"/>
      <c r="AB4" s="228"/>
      <c r="AC4" s="228"/>
    </row>
    <row r="5" spans="1:29" ht="15.05" customHeight="1">
      <c r="A5" s="226" t="s">
        <v>727</v>
      </c>
      <c r="B5" s="226">
        <v>154</v>
      </c>
      <c r="C5" s="226">
        <v>13.1</v>
      </c>
      <c r="D5" s="226">
        <v>11.1</v>
      </c>
      <c r="E5" s="226">
        <v>0.41</v>
      </c>
      <c r="F5" s="226">
        <v>1.1000000000000001</v>
      </c>
      <c r="G5" s="226">
        <v>0</v>
      </c>
      <c r="H5" s="226">
        <v>64</v>
      </c>
      <c r="I5" s="226">
        <v>226</v>
      </c>
      <c r="J5" s="226">
        <v>0.35</v>
      </c>
      <c r="K5" s="226">
        <v>0</v>
      </c>
      <c r="L5" s="226">
        <v>0</v>
      </c>
      <c r="M5" s="226">
        <v>0</v>
      </c>
      <c r="N5" s="226">
        <v>0</v>
      </c>
      <c r="O5" s="226">
        <v>0</v>
      </c>
      <c r="P5" s="226">
        <v>0</v>
      </c>
      <c r="Q5" s="226"/>
      <c r="R5" s="226">
        <v>29.400000000000002</v>
      </c>
      <c r="S5" s="226">
        <v>3</v>
      </c>
      <c r="T5" s="229" t="s">
        <v>745</v>
      </c>
      <c r="AA5" s="230"/>
      <c r="AB5" s="230"/>
      <c r="AC5" s="230"/>
    </row>
    <row r="6" spans="1:29" ht="15.05" customHeight="1">
      <c r="A6" s="226" t="s">
        <v>728</v>
      </c>
      <c r="B6" s="226">
        <v>154</v>
      </c>
      <c r="C6" s="226">
        <v>13.1</v>
      </c>
      <c r="D6" s="226">
        <v>11.1</v>
      </c>
      <c r="E6" s="226">
        <v>0.41</v>
      </c>
      <c r="F6" s="226">
        <v>1.1000000000000001</v>
      </c>
      <c r="G6" s="226">
        <v>0</v>
      </c>
      <c r="H6" s="226">
        <v>64</v>
      </c>
      <c r="I6" s="226">
        <v>226</v>
      </c>
      <c r="J6" s="226">
        <v>0.35</v>
      </c>
      <c r="K6" s="226">
        <v>0</v>
      </c>
      <c r="L6" s="226">
        <v>0</v>
      </c>
      <c r="M6" s="226">
        <v>0</v>
      </c>
      <c r="N6" s="226">
        <v>0</v>
      </c>
      <c r="O6" s="226">
        <v>0</v>
      </c>
      <c r="P6" s="226">
        <v>0</v>
      </c>
      <c r="Q6" s="226"/>
      <c r="R6" s="226">
        <v>39.200000000000003</v>
      </c>
      <c r="S6" s="226">
        <v>4</v>
      </c>
      <c r="T6" s="229" t="s">
        <v>746</v>
      </c>
      <c r="AA6" s="230"/>
      <c r="AB6" s="230"/>
      <c r="AC6" s="230"/>
    </row>
    <row r="7" spans="1:29" ht="15.05" customHeight="1">
      <c r="A7" s="226"/>
      <c r="B7" s="226"/>
      <c r="C7" s="226"/>
      <c r="D7" s="226"/>
      <c r="E7" s="226"/>
      <c r="F7" s="226"/>
      <c r="G7" s="226"/>
      <c r="H7" s="226"/>
      <c r="I7" s="226"/>
      <c r="J7" s="226"/>
      <c r="K7" s="226"/>
      <c r="L7" s="226"/>
      <c r="M7" s="226"/>
      <c r="N7" s="226"/>
      <c r="O7" s="226"/>
      <c r="P7" s="226"/>
      <c r="Q7" s="226"/>
      <c r="R7" s="226"/>
      <c r="S7" s="226"/>
      <c r="T7" s="229"/>
      <c r="AA7" s="230"/>
      <c r="AB7" s="230" t="s">
        <v>224</v>
      </c>
      <c r="AC7" s="230"/>
    </row>
    <row r="8" spans="1:29" ht="15.05" customHeight="1">
      <c r="A8" s="226"/>
      <c r="B8" s="226"/>
      <c r="C8" s="226"/>
      <c r="D8" s="226"/>
      <c r="E8" s="226"/>
      <c r="F8" s="226"/>
      <c r="G8" s="226"/>
      <c r="H8" s="226"/>
      <c r="I8" s="226"/>
      <c r="J8" s="226"/>
      <c r="K8" s="226"/>
      <c r="L8" s="226"/>
      <c r="M8" s="226"/>
      <c r="N8" s="226"/>
      <c r="O8" s="226"/>
      <c r="P8" s="226"/>
      <c r="Q8" s="226"/>
      <c r="R8" s="226"/>
      <c r="S8" s="226"/>
      <c r="T8" s="229"/>
      <c r="AA8" s="230"/>
      <c r="AB8" s="230"/>
      <c r="AC8" s="230"/>
    </row>
    <row r="9" spans="1:29" ht="15.05" customHeight="1">
      <c r="A9" s="226"/>
      <c r="B9" s="226"/>
      <c r="C9" s="226"/>
      <c r="D9" s="226"/>
      <c r="E9" s="226"/>
      <c r="F9" s="226"/>
      <c r="G9" s="226"/>
      <c r="H9" s="226"/>
      <c r="I9" s="226"/>
      <c r="J9" s="226"/>
      <c r="K9" s="226"/>
      <c r="L9" s="226"/>
      <c r="M9" s="226"/>
      <c r="N9" s="226"/>
      <c r="O9" s="226"/>
      <c r="P9" s="226"/>
      <c r="Q9" s="226"/>
      <c r="R9" s="226"/>
      <c r="S9" s="226"/>
      <c r="T9" s="229"/>
      <c r="AA9" s="230"/>
      <c r="AB9" s="230" t="s">
        <v>225</v>
      </c>
      <c r="AC9" s="230"/>
    </row>
    <row r="10" spans="1:29" ht="15.05" customHeight="1">
      <c r="A10" s="226"/>
      <c r="B10" s="226"/>
      <c r="C10" s="226"/>
      <c r="D10" s="226"/>
      <c r="E10" s="226"/>
      <c r="F10" s="226"/>
      <c r="G10" s="226" t="s">
        <v>886</v>
      </c>
      <c r="H10" s="226"/>
      <c r="I10" s="226"/>
      <c r="J10" s="226"/>
      <c r="K10" s="226"/>
      <c r="L10" s="226"/>
      <c r="M10" s="226"/>
      <c r="N10" s="226"/>
      <c r="O10" s="226"/>
      <c r="P10" s="226"/>
      <c r="Q10" s="226"/>
      <c r="R10" s="226"/>
      <c r="S10" s="226"/>
      <c r="T10" s="229"/>
      <c r="AA10" s="230"/>
      <c r="AB10" s="230"/>
      <c r="AC10" s="230"/>
    </row>
    <row r="11" spans="1:29" ht="15.05" customHeight="1">
      <c r="A11" s="226"/>
      <c r="B11" s="226"/>
      <c r="C11" s="226"/>
      <c r="D11" s="226"/>
      <c r="E11" s="226"/>
      <c r="F11" s="226"/>
      <c r="G11" s="232">
        <v>44330</v>
      </c>
      <c r="H11" s="226"/>
      <c r="I11" s="226"/>
      <c r="J11" s="226"/>
      <c r="K11" s="226"/>
      <c r="L11" s="226"/>
      <c r="M11" s="226"/>
      <c r="N11" s="226"/>
      <c r="O11" s="226"/>
      <c r="P11" s="226"/>
      <c r="Q11" s="226"/>
      <c r="R11" s="226"/>
      <c r="S11" s="226"/>
      <c r="T11" s="229"/>
      <c r="AA11" s="230"/>
      <c r="AB11" s="230" t="s">
        <v>226</v>
      </c>
      <c r="AC11" s="230"/>
    </row>
    <row r="12" spans="1:29" ht="15.05" customHeight="1">
      <c r="A12" s="226"/>
      <c r="B12" s="226"/>
      <c r="C12" s="226"/>
      <c r="D12" s="226"/>
      <c r="E12" s="226"/>
      <c r="F12" s="226"/>
      <c r="G12" s="226"/>
      <c r="H12" s="226"/>
      <c r="I12" s="226"/>
      <c r="J12" s="226"/>
      <c r="K12" s="226"/>
      <c r="L12" s="226"/>
      <c r="M12" s="226"/>
      <c r="N12" s="226"/>
      <c r="O12" s="226"/>
      <c r="P12" s="226"/>
      <c r="Q12" s="226"/>
      <c r="R12" s="226"/>
      <c r="S12" s="226"/>
      <c r="T12" s="229"/>
      <c r="AA12" s="230"/>
      <c r="AB12" s="230" t="s">
        <v>227</v>
      </c>
      <c r="AC12" s="230"/>
    </row>
    <row r="13" spans="1:29" ht="15.05" customHeight="1">
      <c r="A13" s="226"/>
      <c r="B13" s="226"/>
      <c r="C13" s="226"/>
      <c r="D13" s="226"/>
      <c r="E13" s="226"/>
      <c r="F13" s="226"/>
      <c r="G13" s="226"/>
      <c r="H13" s="226"/>
      <c r="I13" s="226"/>
      <c r="J13" s="226"/>
      <c r="K13" s="226"/>
      <c r="L13" s="226"/>
      <c r="M13" s="226"/>
      <c r="N13" s="226"/>
      <c r="O13" s="226"/>
      <c r="P13" s="226"/>
      <c r="Q13" s="226"/>
      <c r="R13" s="226"/>
      <c r="S13" s="226"/>
      <c r="T13" s="229"/>
      <c r="AA13" s="230"/>
      <c r="AB13" s="230" t="s">
        <v>228</v>
      </c>
      <c r="AC13" s="230"/>
    </row>
    <row r="14" spans="1:29" ht="15.05" customHeight="1">
      <c r="A14" s="226"/>
      <c r="B14" s="226"/>
      <c r="C14" s="226"/>
      <c r="D14" s="226"/>
      <c r="E14" s="226"/>
      <c r="F14" s="226"/>
      <c r="G14" s="226"/>
      <c r="H14" s="226"/>
      <c r="I14" s="226"/>
      <c r="J14" s="226"/>
      <c r="K14" s="226"/>
      <c r="L14" s="226"/>
      <c r="M14" s="226"/>
      <c r="N14" s="226"/>
      <c r="O14" s="226"/>
      <c r="P14" s="226"/>
      <c r="Q14" s="226"/>
      <c r="R14" s="226"/>
      <c r="S14" s="226"/>
      <c r="T14" s="229"/>
      <c r="AA14" s="230"/>
      <c r="AB14" s="230"/>
      <c r="AC14" s="230"/>
    </row>
    <row r="15" spans="1:29" ht="15.05" customHeight="1">
      <c r="A15" s="226"/>
      <c r="B15" s="226"/>
      <c r="C15" s="226"/>
      <c r="D15" s="226"/>
      <c r="E15" s="226"/>
      <c r="F15" s="226"/>
      <c r="G15" s="226"/>
      <c r="H15" s="226"/>
      <c r="I15" s="226"/>
      <c r="J15" s="226"/>
      <c r="K15" s="226"/>
      <c r="L15" s="226"/>
      <c r="M15" s="226"/>
      <c r="N15" s="226"/>
      <c r="O15" s="226"/>
      <c r="P15" s="226"/>
      <c r="Q15" s="226"/>
      <c r="R15" s="226"/>
      <c r="S15" s="226"/>
      <c r="T15" s="229"/>
      <c r="AA15" s="230"/>
      <c r="AB15" s="230" t="s">
        <v>229</v>
      </c>
      <c r="AC15" s="230"/>
    </row>
    <row r="16" spans="1:29" ht="15.05" customHeight="1">
      <c r="A16" s="226"/>
      <c r="B16" s="226"/>
      <c r="C16" s="226"/>
      <c r="D16" s="226"/>
      <c r="E16" s="226"/>
      <c r="F16" s="226"/>
      <c r="G16" s="226"/>
      <c r="H16" s="226"/>
      <c r="I16" s="226"/>
      <c r="J16" s="226"/>
      <c r="K16" s="226"/>
      <c r="L16" s="226"/>
      <c r="M16" s="226"/>
      <c r="N16" s="226"/>
      <c r="O16" s="226"/>
      <c r="P16" s="226"/>
      <c r="Q16" s="226"/>
      <c r="R16" s="226"/>
      <c r="S16" s="226"/>
      <c r="T16" s="229"/>
      <c r="AA16" s="230"/>
      <c r="AB16" s="230"/>
      <c r="AC16" s="230"/>
    </row>
    <row r="17" spans="1:29" ht="15.05" customHeight="1">
      <c r="A17" s="226"/>
      <c r="B17" s="226"/>
      <c r="C17" s="226"/>
      <c r="D17" s="226"/>
      <c r="E17" s="226"/>
      <c r="F17" s="226"/>
      <c r="G17" s="226"/>
      <c r="H17" s="226"/>
      <c r="I17" s="226"/>
      <c r="J17" s="226"/>
      <c r="K17" s="226"/>
      <c r="L17" s="226"/>
      <c r="M17" s="226"/>
      <c r="N17" s="226"/>
      <c r="O17" s="226"/>
      <c r="P17" s="226"/>
      <c r="Q17" s="226"/>
      <c r="R17" s="226"/>
      <c r="S17" s="226"/>
      <c r="T17" s="229"/>
      <c r="AA17" s="230"/>
      <c r="AB17" s="230"/>
      <c r="AC17" s="230"/>
    </row>
    <row r="18" spans="1:29" ht="15.05" customHeight="1">
      <c r="A18" s="226"/>
      <c r="B18" s="226"/>
      <c r="C18" s="226"/>
      <c r="D18" s="226"/>
      <c r="E18" s="226"/>
      <c r="F18" s="226"/>
      <c r="G18" s="226"/>
      <c r="H18" s="226"/>
      <c r="I18" s="226"/>
      <c r="J18" s="226"/>
      <c r="K18" s="226"/>
      <c r="L18" s="226"/>
      <c r="M18" s="226"/>
      <c r="N18" s="226"/>
      <c r="O18" s="226"/>
      <c r="P18" s="226"/>
      <c r="Q18" s="226"/>
      <c r="R18" s="226"/>
      <c r="S18" s="226"/>
      <c r="T18" s="229"/>
      <c r="AA18" s="233"/>
      <c r="AB18" s="233"/>
      <c r="AC18" s="233"/>
    </row>
    <row r="19" spans="1:29" ht="15.05" customHeight="1">
      <c r="A19" s="226"/>
      <c r="B19" s="226"/>
      <c r="C19" s="226"/>
      <c r="D19" s="226"/>
      <c r="E19" s="226"/>
      <c r="F19" s="226"/>
      <c r="G19" s="226"/>
      <c r="H19" s="226"/>
      <c r="I19" s="226"/>
      <c r="J19" s="226"/>
      <c r="K19" s="226"/>
      <c r="L19" s="226"/>
      <c r="M19" s="226"/>
      <c r="N19" s="226"/>
      <c r="O19" s="226"/>
      <c r="P19" s="226"/>
      <c r="Q19" s="226"/>
      <c r="R19" s="226"/>
      <c r="S19" s="226"/>
      <c r="T19" s="229"/>
      <c r="AA19" s="233"/>
      <c r="AB19" s="233"/>
      <c r="AC19" s="233"/>
    </row>
    <row r="20" spans="1:29" ht="15.05" customHeight="1">
      <c r="A20" s="226"/>
      <c r="B20" s="226"/>
      <c r="C20" s="226"/>
      <c r="D20" s="226"/>
      <c r="E20" s="226"/>
      <c r="F20" s="226"/>
      <c r="G20" s="226"/>
      <c r="H20" s="226"/>
      <c r="I20" s="226"/>
      <c r="J20" s="226"/>
      <c r="K20" s="226"/>
      <c r="L20" s="226"/>
      <c r="M20" s="226"/>
      <c r="N20" s="226"/>
      <c r="O20" s="226"/>
      <c r="P20" s="226"/>
      <c r="Q20" s="226"/>
      <c r="R20" s="226"/>
      <c r="S20" s="226"/>
      <c r="T20" s="229"/>
      <c r="AA20" s="233"/>
      <c r="AB20" s="233"/>
      <c r="AC20" s="233"/>
    </row>
    <row r="21" spans="1:29" ht="15.05" customHeight="1">
      <c r="A21" s="226"/>
      <c r="B21" s="226"/>
      <c r="C21" s="226"/>
      <c r="D21" s="226"/>
      <c r="E21" s="226"/>
      <c r="F21" s="226"/>
      <c r="G21" s="226"/>
      <c r="H21" s="226"/>
      <c r="I21" s="226"/>
      <c r="J21" s="226"/>
      <c r="K21" s="226"/>
      <c r="L21" s="226"/>
      <c r="M21" s="226"/>
      <c r="N21" s="226"/>
      <c r="O21" s="226"/>
      <c r="P21" s="226"/>
      <c r="Q21" s="226"/>
      <c r="R21" s="226"/>
      <c r="S21" s="226"/>
      <c r="T21" s="229"/>
      <c r="AA21" s="233"/>
      <c r="AB21" s="233"/>
      <c r="AC21" s="233"/>
    </row>
    <row r="22" spans="1:29" ht="15.05" customHeight="1">
      <c r="A22" s="226"/>
      <c r="B22" s="226"/>
      <c r="C22" s="226"/>
      <c r="D22" s="226"/>
      <c r="E22" s="226"/>
      <c r="F22" s="226"/>
      <c r="G22" s="226"/>
      <c r="H22" s="226"/>
      <c r="I22" s="226"/>
      <c r="J22" s="226"/>
      <c r="K22" s="226"/>
      <c r="L22" s="226"/>
      <c r="M22" s="226"/>
      <c r="N22" s="226"/>
      <c r="O22" s="226"/>
      <c r="P22" s="226"/>
      <c r="Q22" s="226"/>
      <c r="R22" s="226"/>
      <c r="S22" s="226"/>
      <c r="T22" s="229"/>
      <c r="AA22" s="233"/>
      <c r="AB22" s="233"/>
      <c r="AC22" s="233"/>
    </row>
    <row r="23" spans="1:29" ht="15.05" customHeight="1">
      <c r="A23" s="226"/>
      <c r="B23" s="226"/>
      <c r="C23" s="226"/>
      <c r="D23" s="226"/>
      <c r="E23" s="226"/>
      <c r="F23" s="226"/>
      <c r="G23" s="226"/>
      <c r="H23" s="226"/>
      <c r="I23" s="226"/>
      <c r="J23" s="226"/>
      <c r="K23" s="226"/>
      <c r="L23" s="226"/>
      <c r="M23" s="226"/>
      <c r="N23" s="226"/>
      <c r="O23" s="226"/>
      <c r="P23" s="226"/>
      <c r="Q23" s="226"/>
      <c r="R23" s="226"/>
      <c r="S23" s="226"/>
      <c r="T23" s="229"/>
      <c r="AA23" s="233"/>
      <c r="AB23" s="233"/>
      <c r="AC23" s="233"/>
    </row>
    <row r="24" spans="1:29" ht="15.05" customHeight="1">
      <c r="A24" s="226"/>
      <c r="B24" s="226"/>
      <c r="C24" s="226"/>
      <c r="D24" s="226"/>
      <c r="E24" s="226"/>
      <c r="F24" s="226"/>
      <c r="G24" s="226"/>
      <c r="H24" s="226"/>
      <c r="I24" s="226"/>
      <c r="J24" s="226"/>
      <c r="K24" s="226"/>
      <c r="L24" s="226"/>
      <c r="M24" s="226"/>
      <c r="N24" s="226"/>
      <c r="O24" s="226"/>
      <c r="P24" s="226"/>
      <c r="Q24" s="226"/>
      <c r="R24" s="226"/>
      <c r="S24" s="226"/>
      <c r="T24" s="229"/>
      <c r="AA24" s="233"/>
      <c r="AB24" s="233"/>
      <c r="AC24" s="233"/>
    </row>
    <row r="25" spans="1:29" ht="15.05" customHeight="1">
      <c r="A25" s="226"/>
      <c r="B25" s="226"/>
      <c r="C25" s="226"/>
      <c r="D25" s="226"/>
      <c r="E25" s="226"/>
      <c r="F25" s="226"/>
      <c r="G25" s="226"/>
      <c r="H25" s="226"/>
      <c r="I25" s="226"/>
      <c r="J25" s="226"/>
      <c r="K25" s="226"/>
      <c r="L25" s="226"/>
      <c r="M25" s="226"/>
      <c r="N25" s="226"/>
      <c r="O25" s="226"/>
      <c r="P25" s="226"/>
      <c r="Q25" s="226"/>
      <c r="R25" s="226"/>
      <c r="S25" s="226"/>
      <c r="T25" s="229"/>
      <c r="AA25" s="233"/>
      <c r="AB25" s="233"/>
      <c r="AC25" s="233"/>
    </row>
    <row r="26" spans="1:29" ht="15.05" customHeight="1">
      <c r="A26" s="226"/>
      <c r="B26" s="226"/>
      <c r="C26" s="226"/>
      <c r="D26" s="226"/>
      <c r="E26" s="226"/>
      <c r="F26" s="226"/>
      <c r="G26" s="226"/>
      <c r="H26" s="226"/>
      <c r="I26" s="226"/>
      <c r="J26" s="226"/>
      <c r="K26" s="226"/>
      <c r="L26" s="226"/>
      <c r="M26" s="226"/>
      <c r="N26" s="226"/>
      <c r="O26" s="226"/>
      <c r="P26" s="226"/>
      <c r="Q26" s="226"/>
      <c r="R26" s="226"/>
      <c r="S26" s="226"/>
      <c r="T26" s="229"/>
      <c r="AA26" s="233"/>
      <c r="AB26" s="233"/>
      <c r="AC26" s="233"/>
    </row>
    <row r="27" spans="1:29" ht="15.05" customHeight="1">
      <c r="A27" s="226"/>
      <c r="B27" s="226"/>
      <c r="C27" s="226"/>
      <c r="D27" s="226"/>
      <c r="E27" s="226"/>
      <c r="F27" s="226"/>
      <c r="G27" s="226"/>
      <c r="H27" s="226"/>
      <c r="I27" s="226"/>
      <c r="J27" s="226"/>
      <c r="K27" s="226"/>
      <c r="L27" s="226"/>
      <c r="M27" s="226"/>
      <c r="N27" s="226"/>
      <c r="O27" s="226"/>
      <c r="P27" s="226"/>
      <c r="Q27" s="226"/>
      <c r="R27" s="226"/>
      <c r="S27" s="226"/>
      <c r="T27" s="229"/>
      <c r="AA27" s="233"/>
      <c r="AB27" s="233"/>
      <c r="AC27" s="233"/>
    </row>
    <row r="28" spans="1:29" ht="15.05" customHeight="1">
      <c r="A28" s="226"/>
      <c r="B28" s="226"/>
      <c r="C28" s="226"/>
      <c r="D28" s="226"/>
      <c r="E28" s="226"/>
      <c r="F28" s="226"/>
      <c r="G28" s="226"/>
      <c r="H28" s="226"/>
      <c r="I28" s="226"/>
      <c r="J28" s="226"/>
      <c r="K28" s="226"/>
      <c r="L28" s="226"/>
      <c r="M28" s="226"/>
      <c r="N28" s="226"/>
      <c r="O28" s="226"/>
      <c r="P28" s="226"/>
      <c r="Q28" s="226"/>
      <c r="R28" s="226"/>
      <c r="S28" s="226"/>
      <c r="T28" s="229"/>
      <c r="AA28" s="233"/>
      <c r="AB28" s="233"/>
      <c r="AC28" s="233"/>
    </row>
    <row r="29" spans="1:29" ht="15.05" customHeight="1">
      <c r="A29" s="226"/>
      <c r="B29" s="226"/>
      <c r="C29" s="226"/>
      <c r="D29" s="226"/>
      <c r="E29" s="226"/>
      <c r="F29" s="226"/>
      <c r="G29" s="226"/>
      <c r="H29" s="226"/>
      <c r="I29" s="226"/>
      <c r="J29" s="226"/>
      <c r="K29" s="226"/>
      <c r="L29" s="226"/>
      <c r="M29" s="226"/>
      <c r="N29" s="226"/>
      <c r="O29" s="226"/>
      <c r="P29" s="226"/>
      <c r="Q29" s="226"/>
      <c r="R29" s="226"/>
      <c r="S29" s="226"/>
      <c r="T29" s="229"/>
      <c r="AA29" s="233"/>
      <c r="AB29" s="233"/>
      <c r="AC29" s="233"/>
    </row>
    <row r="30" spans="1:29" ht="15.05" customHeight="1">
      <c r="A30" s="226"/>
      <c r="B30" s="226"/>
      <c r="C30" s="226"/>
      <c r="D30" s="226"/>
      <c r="E30" s="226"/>
      <c r="F30" s="226"/>
      <c r="G30" s="226"/>
      <c r="H30" s="226"/>
      <c r="I30" s="226"/>
      <c r="J30" s="226"/>
      <c r="K30" s="226"/>
      <c r="L30" s="226"/>
      <c r="M30" s="226"/>
      <c r="N30" s="226"/>
      <c r="O30" s="226"/>
      <c r="P30" s="226"/>
      <c r="Q30" s="226"/>
      <c r="R30" s="226"/>
      <c r="S30" s="226"/>
      <c r="T30" s="229"/>
      <c r="AA30" s="233"/>
      <c r="AB30" s="233"/>
      <c r="AC30" s="233"/>
    </row>
    <row r="31" spans="1:29" ht="15.05" customHeight="1">
      <c r="A31" s="226"/>
      <c r="B31" s="226"/>
      <c r="C31" s="226"/>
      <c r="D31" s="226"/>
      <c r="E31" s="226"/>
      <c r="F31" s="226"/>
      <c r="G31" s="226"/>
      <c r="H31" s="226"/>
      <c r="I31" s="226"/>
      <c r="J31" s="226"/>
      <c r="K31" s="226"/>
      <c r="L31" s="226"/>
      <c r="M31" s="226"/>
      <c r="N31" s="226"/>
      <c r="O31" s="226"/>
      <c r="P31" s="226"/>
      <c r="Q31" s="226"/>
      <c r="R31" s="226"/>
      <c r="S31" s="226"/>
      <c r="T31" s="229"/>
      <c r="AA31" s="233"/>
      <c r="AB31" s="233"/>
      <c r="AC31" s="233"/>
    </row>
    <row r="32" spans="1:29" ht="15.05" customHeight="1">
      <c r="A32" s="226"/>
      <c r="B32" s="226"/>
      <c r="C32" s="226"/>
      <c r="D32" s="226"/>
      <c r="E32" s="226"/>
      <c r="F32" s="226"/>
      <c r="G32" s="226"/>
      <c r="H32" s="226"/>
      <c r="I32" s="226"/>
      <c r="J32" s="226"/>
      <c r="K32" s="226"/>
      <c r="L32" s="226"/>
      <c r="M32" s="226"/>
      <c r="N32" s="226"/>
      <c r="O32" s="226"/>
      <c r="P32" s="226"/>
      <c r="Q32" s="226"/>
      <c r="R32" s="226"/>
      <c r="S32" s="226"/>
      <c r="T32" s="229"/>
      <c r="AA32" s="233"/>
      <c r="AB32" s="233"/>
      <c r="AC32" s="233"/>
    </row>
    <row r="33" spans="1:29" ht="15.05" customHeight="1">
      <c r="A33" s="226"/>
      <c r="B33" s="226"/>
      <c r="C33" s="226"/>
      <c r="D33" s="226"/>
      <c r="E33" s="226"/>
      <c r="F33" s="226"/>
      <c r="G33" s="226"/>
      <c r="H33" s="226"/>
      <c r="I33" s="226"/>
      <c r="J33" s="226"/>
      <c r="K33" s="226"/>
      <c r="L33" s="226"/>
      <c r="M33" s="226"/>
      <c r="N33" s="226"/>
      <c r="O33" s="226"/>
      <c r="P33" s="226"/>
      <c r="Q33" s="226"/>
      <c r="R33" s="226"/>
      <c r="S33" s="226"/>
      <c r="T33" s="229"/>
      <c r="AA33" s="233"/>
      <c r="AB33" s="233"/>
      <c r="AC33" s="233"/>
    </row>
    <row r="34" spans="1:29" ht="15.05" customHeight="1">
      <c r="A34" s="226"/>
      <c r="B34" s="226"/>
      <c r="C34" s="226"/>
      <c r="D34" s="226"/>
      <c r="E34" s="226"/>
      <c r="F34" s="226"/>
      <c r="G34" s="226"/>
      <c r="H34" s="226"/>
      <c r="I34" s="226"/>
      <c r="J34" s="226"/>
      <c r="K34" s="226"/>
      <c r="L34" s="226"/>
      <c r="M34" s="226"/>
      <c r="N34" s="226"/>
      <c r="O34" s="226"/>
      <c r="P34" s="226"/>
      <c r="Q34" s="226"/>
      <c r="R34" s="226"/>
      <c r="S34" s="226"/>
      <c r="T34" s="226"/>
      <c r="AA34" s="233"/>
      <c r="AB34" s="233"/>
      <c r="AC34" s="233"/>
    </row>
    <row r="35" spans="1:29" ht="15.05" customHeight="1">
      <c r="A35" s="226"/>
      <c r="B35" s="226"/>
      <c r="C35" s="226"/>
      <c r="D35" s="226"/>
      <c r="E35" s="226"/>
      <c r="F35" s="226"/>
      <c r="G35" s="226"/>
      <c r="H35" s="226"/>
      <c r="I35" s="226"/>
      <c r="J35" s="226"/>
      <c r="K35" s="226"/>
      <c r="L35" s="226"/>
      <c r="M35" s="226"/>
      <c r="N35" s="226"/>
      <c r="O35" s="226"/>
      <c r="P35" s="226"/>
      <c r="Q35" s="226"/>
      <c r="R35" s="226"/>
      <c r="S35" s="226"/>
      <c r="T35" s="226"/>
      <c r="AA35" s="233"/>
      <c r="AB35" s="233"/>
      <c r="AC35" s="233"/>
    </row>
    <row r="36" spans="1:29" ht="15.05" customHeight="1">
      <c r="A36" s="226"/>
      <c r="B36" s="226"/>
      <c r="C36" s="226"/>
      <c r="D36" s="226"/>
      <c r="E36" s="226"/>
      <c r="F36" s="226"/>
      <c r="G36" s="226"/>
      <c r="H36" s="226"/>
      <c r="I36" s="226"/>
      <c r="J36" s="226"/>
      <c r="K36" s="226"/>
      <c r="L36" s="226"/>
      <c r="M36" s="226"/>
      <c r="N36" s="226"/>
      <c r="O36" s="226"/>
      <c r="P36" s="226"/>
      <c r="Q36" s="226"/>
      <c r="R36" s="226"/>
      <c r="S36" s="226"/>
      <c r="T36" s="226"/>
    </row>
    <row r="37" spans="1:29" ht="15.05" customHeight="1">
      <c r="A37" s="226"/>
      <c r="B37" s="226"/>
      <c r="C37" s="226"/>
      <c r="D37" s="226"/>
      <c r="E37" s="226"/>
      <c r="F37" s="226"/>
      <c r="G37" s="226"/>
      <c r="H37" s="226"/>
      <c r="I37" s="226"/>
      <c r="J37" s="226"/>
      <c r="K37" s="226"/>
      <c r="L37" s="226"/>
      <c r="M37" s="226"/>
      <c r="N37" s="226"/>
      <c r="O37" s="226"/>
      <c r="P37" s="226"/>
      <c r="Q37" s="226"/>
      <c r="R37" s="226"/>
      <c r="S37" s="226"/>
      <c r="T37" s="226"/>
    </row>
    <row r="38" spans="1:29" ht="15.05" customHeight="1">
      <c r="A38" s="226"/>
      <c r="B38" s="226"/>
      <c r="C38" s="226"/>
      <c r="D38" s="226"/>
      <c r="E38" s="226"/>
      <c r="F38" s="226"/>
      <c r="G38" s="226"/>
      <c r="H38" s="226"/>
      <c r="I38" s="226"/>
      <c r="J38" s="226"/>
      <c r="K38" s="226"/>
      <c r="L38" s="226"/>
      <c r="M38" s="226"/>
      <c r="N38" s="226"/>
      <c r="O38" s="226"/>
      <c r="P38" s="226"/>
      <c r="Q38" s="226"/>
      <c r="R38" s="226"/>
      <c r="S38" s="226"/>
      <c r="T38" s="226"/>
    </row>
    <row r="39" spans="1:29" ht="15.05" customHeight="1">
      <c r="A39" s="226"/>
      <c r="B39" s="226"/>
      <c r="C39" s="226"/>
      <c r="D39" s="226"/>
      <c r="E39" s="226"/>
      <c r="F39" s="226"/>
      <c r="G39" s="226"/>
      <c r="H39" s="226"/>
      <c r="I39" s="226"/>
      <c r="J39" s="226"/>
      <c r="K39" s="226"/>
      <c r="L39" s="226"/>
      <c r="M39" s="226"/>
      <c r="N39" s="226"/>
      <c r="O39" s="226"/>
      <c r="P39" s="226"/>
      <c r="Q39" s="226"/>
      <c r="R39" s="226"/>
      <c r="S39" s="226"/>
      <c r="T39" s="226"/>
    </row>
    <row r="40" spans="1:29" ht="15.05" customHeight="1">
      <c r="A40" s="226"/>
      <c r="B40" s="226"/>
      <c r="C40" s="226"/>
      <c r="D40" s="226"/>
      <c r="E40" s="226"/>
      <c r="F40" s="226"/>
      <c r="G40" s="226"/>
      <c r="H40" s="226"/>
      <c r="I40" s="226"/>
      <c r="J40" s="226"/>
      <c r="K40" s="226"/>
      <c r="L40" s="226"/>
      <c r="M40" s="226"/>
      <c r="N40" s="226"/>
      <c r="O40" s="226"/>
      <c r="P40" s="226"/>
      <c r="Q40" s="226"/>
      <c r="R40" s="226"/>
      <c r="S40" s="226"/>
      <c r="T40" s="226"/>
    </row>
    <row r="41" spans="1:29" ht="15.05" customHeight="1">
      <c r="A41" s="226"/>
      <c r="B41" s="226"/>
      <c r="C41" s="226"/>
      <c r="D41" s="226"/>
      <c r="E41" s="226"/>
      <c r="F41" s="226"/>
      <c r="G41" s="226"/>
      <c r="H41" s="226"/>
      <c r="I41" s="226"/>
      <c r="J41" s="226"/>
      <c r="K41" s="226"/>
      <c r="L41" s="226"/>
      <c r="M41" s="226"/>
      <c r="N41" s="226"/>
      <c r="O41" s="226"/>
      <c r="P41" s="226"/>
      <c r="Q41" s="226"/>
      <c r="R41" s="226"/>
      <c r="S41" s="226"/>
      <c r="T41" s="226"/>
    </row>
    <row r="42" spans="1:29" ht="15.05" customHeight="1">
      <c r="A42" s="226"/>
      <c r="B42" s="226"/>
      <c r="C42" s="226"/>
      <c r="D42" s="226"/>
      <c r="E42" s="226"/>
      <c r="F42" s="226"/>
      <c r="G42" s="226"/>
      <c r="H42" s="226"/>
      <c r="I42" s="226"/>
      <c r="J42" s="226"/>
      <c r="K42" s="226"/>
      <c r="L42" s="226"/>
      <c r="M42" s="226"/>
      <c r="N42" s="226"/>
      <c r="O42" s="226"/>
      <c r="P42" s="226"/>
      <c r="Q42" s="226"/>
      <c r="R42" s="226"/>
      <c r="S42" s="226"/>
      <c r="T42" s="226"/>
    </row>
    <row r="43" spans="1:29" ht="15.05" customHeight="1">
      <c r="A43" s="226"/>
      <c r="B43" s="226"/>
      <c r="C43" s="226"/>
      <c r="D43" s="226"/>
      <c r="E43" s="226"/>
      <c r="F43" s="226"/>
      <c r="G43" s="226"/>
      <c r="H43" s="226"/>
      <c r="I43" s="226"/>
      <c r="J43" s="226"/>
      <c r="K43" s="226"/>
      <c r="L43" s="226"/>
      <c r="M43" s="226"/>
      <c r="N43" s="226"/>
      <c r="O43" s="226"/>
      <c r="P43" s="226"/>
      <c r="Q43" s="226"/>
      <c r="R43" s="226"/>
      <c r="S43" s="226"/>
      <c r="T43" s="226"/>
    </row>
    <row r="44" spans="1:29" ht="15.05" customHeight="1">
      <c r="A44" s="226"/>
      <c r="B44" s="226"/>
      <c r="C44" s="226"/>
      <c r="D44" s="226"/>
      <c r="E44" s="226"/>
      <c r="F44" s="226"/>
      <c r="G44" s="226"/>
      <c r="H44" s="226"/>
      <c r="I44" s="226"/>
      <c r="J44" s="226"/>
      <c r="K44" s="226"/>
      <c r="L44" s="226"/>
      <c r="M44" s="226"/>
      <c r="N44" s="226"/>
      <c r="O44" s="226"/>
      <c r="P44" s="226"/>
      <c r="Q44" s="226"/>
      <c r="R44" s="226"/>
      <c r="S44" s="226"/>
      <c r="T44" s="226"/>
    </row>
    <row r="45" spans="1:29" ht="15.05" customHeight="1">
      <c r="A45" s="226"/>
      <c r="B45" s="226"/>
      <c r="C45" s="226"/>
      <c r="D45" s="226"/>
      <c r="E45" s="226"/>
      <c r="F45" s="226"/>
      <c r="G45" s="226"/>
      <c r="H45" s="226"/>
      <c r="I45" s="226"/>
      <c r="J45" s="226"/>
      <c r="K45" s="226"/>
      <c r="L45" s="226"/>
      <c r="M45" s="226"/>
      <c r="N45" s="226"/>
      <c r="O45" s="226"/>
      <c r="P45" s="226"/>
      <c r="Q45" s="226"/>
      <c r="R45" s="226"/>
      <c r="S45" s="226"/>
      <c r="T45" s="226"/>
    </row>
    <row r="46" spans="1:29" ht="15.05" customHeight="1">
      <c r="A46" s="226"/>
      <c r="B46" s="226"/>
      <c r="C46" s="226"/>
      <c r="D46" s="226"/>
      <c r="E46" s="226"/>
      <c r="F46" s="226"/>
      <c r="G46" s="226"/>
      <c r="H46" s="226"/>
      <c r="I46" s="226"/>
      <c r="J46" s="226"/>
      <c r="K46" s="226"/>
      <c r="L46" s="226"/>
      <c r="M46" s="226"/>
      <c r="N46" s="226"/>
      <c r="O46" s="226"/>
      <c r="P46" s="226"/>
      <c r="Q46" s="226"/>
      <c r="R46" s="226"/>
      <c r="S46" s="226"/>
      <c r="T46" s="226"/>
    </row>
    <row r="47" spans="1:29" ht="15.05" customHeight="1">
      <c r="A47" s="226"/>
      <c r="B47" s="226"/>
      <c r="C47" s="226"/>
      <c r="D47" s="226"/>
      <c r="E47" s="226"/>
      <c r="F47" s="226"/>
      <c r="G47" s="226"/>
      <c r="H47" s="226"/>
      <c r="I47" s="226"/>
      <c r="J47" s="226"/>
      <c r="K47" s="226"/>
      <c r="L47" s="226"/>
      <c r="M47" s="226"/>
      <c r="N47" s="226"/>
      <c r="O47" s="226"/>
      <c r="P47" s="226"/>
      <c r="Q47" s="226"/>
      <c r="R47" s="226"/>
      <c r="S47" s="226"/>
      <c r="T47" s="226"/>
    </row>
    <row r="48" spans="1:29" ht="15.05" customHeight="1">
      <c r="A48" s="226"/>
      <c r="B48" s="226"/>
      <c r="C48" s="226"/>
      <c r="D48" s="226"/>
      <c r="E48" s="226"/>
      <c r="F48" s="226"/>
      <c r="G48" s="226"/>
      <c r="H48" s="226"/>
      <c r="I48" s="226"/>
      <c r="J48" s="226"/>
      <c r="K48" s="226"/>
      <c r="L48" s="226"/>
      <c r="M48" s="226"/>
      <c r="N48" s="226"/>
      <c r="O48" s="226"/>
      <c r="P48" s="226"/>
      <c r="Q48" s="226"/>
      <c r="R48" s="226"/>
      <c r="S48" s="226"/>
      <c r="T48" s="226"/>
    </row>
    <row r="49" spans="1:20" ht="15.05" customHeight="1">
      <c r="A49" s="226"/>
      <c r="B49" s="226"/>
      <c r="C49" s="226"/>
      <c r="D49" s="226"/>
      <c r="E49" s="226"/>
      <c r="F49" s="226"/>
      <c r="G49" s="226"/>
      <c r="H49" s="226"/>
      <c r="I49" s="226"/>
      <c r="J49" s="226"/>
      <c r="K49" s="226"/>
      <c r="L49" s="226"/>
      <c r="M49" s="226"/>
      <c r="N49" s="226"/>
      <c r="O49" s="226"/>
      <c r="P49" s="226"/>
      <c r="Q49" s="226"/>
      <c r="R49" s="226"/>
      <c r="S49" s="226"/>
      <c r="T49" s="226"/>
    </row>
    <row r="50" spans="1:20" ht="15.05" customHeight="1">
      <c r="A50" s="226"/>
      <c r="B50" s="226"/>
      <c r="C50" s="226"/>
      <c r="D50" s="226"/>
      <c r="E50" s="226"/>
      <c r="F50" s="226"/>
      <c r="G50" s="226"/>
      <c r="H50" s="226"/>
      <c r="I50" s="226"/>
      <c r="J50" s="226"/>
      <c r="K50" s="226"/>
      <c r="L50" s="226"/>
      <c r="M50" s="226"/>
      <c r="N50" s="226"/>
      <c r="O50" s="226"/>
      <c r="P50" s="226"/>
      <c r="Q50" s="226"/>
      <c r="R50" s="226"/>
      <c r="S50" s="226"/>
      <c r="T50" s="226"/>
    </row>
    <row r="51" spans="1:20" ht="15.05" customHeight="1">
      <c r="A51" s="226"/>
      <c r="B51" s="226"/>
      <c r="C51" s="226"/>
      <c r="D51" s="226"/>
      <c r="E51" s="226"/>
      <c r="F51" s="226"/>
      <c r="G51" s="226"/>
      <c r="H51" s="226"/>
      <c r="I51" s="226"/>
      <c r="J51" s="226"/>
      <c r="K51" s="226"/>
      <c r="L51" s="226"/>
      <c r="M51" s="226"/>
      <c r="N51" s="226"/>
      <c r="O51" s="226"/>
      <c r="P51" s="226"/>
      <c r="Q51" s="226"/>
      <c r="R51" s="226"/>
      <c r="S51" s="226"/>
      <c r="T51" s="226"/>
    </row>
    <row r="52" spans="1:20" ht="15.05" customHeight="1">
      <c r="A52" s="226"/>
      <c r="B52" s="226"/>
      <c r="C52" s="226"/>
      <c r="D52" s="226"/>
      <c r="E52" s="226"/>
      <c r="F52" s="226"/>
      <c r="G52" s="226"/>
      <c r="H52" s="226"/>
      <c r="I52" s="226"/>
      <c r="J52" s="226"/>
      <c r="K52" s="226"/>
      <c r="L52" s="226"/>
      <c r="M52" s="226"/>
      <c r="N52" s="226"/>
      <c r="O52" s="226"/>
      <c r="P52" s="226"/>
      <c r="Q52" s="226"/>
      <c r="R52" s="226"/>
      <c r="S52" s="226"/>
      <c r="T52" s="226"/>
    </row>
    <row r="53" spans="1:20" ht="15.05" customHeight="1">
      <c r="A53" s="226"/>
      <c r="B53" s="226"/>
      <c r="C53" s="226"/>
      <c r="D53" s="226"/>
      <c r="E53" s="226"/>
      <c r="F53" s="226"/>
      <c r="G53" s="226"/>
      <c r="H53" s="226"/>
      <c r="I53" s="226"/>
      <c r="J53" s="226"/>
      <c r="K53" s="226"/>
      <c r="L53" s="226"/>
      <c r="M53" s="226"/>
      <c r="N53" s="226"/>
      <c r="O53" s="226"/>
      <c r="P53" s="226"/>
      <c r="Q53" s="226"/>
      <c r="R53" s="226"/>
      <c r="S53" s="226"/>
      <c r="T53" s="226"/>
    </row>
    <row r="54" spans="1:20" ht="15.05" customHeight="1">
      <c r="A54" s="226"/>
      <c r="B54" s="226"/>
      <c r="C54" s="226"/>
      <c r="D54" s="226"/>
      <c r="E54" s="226"/>
      <c r="F54" s="226"/>
      <c r="G54" s="226"/>
      <c r="H54" s="226"/>
      <c r="I54" s="226"/>
      <c r="J54" s="226"/>
      <c r="K54" s="226"/>
      <c r="L54" s="226"/>
      <c r="M54" s="226"/>
      <c r="N54" s="226"/>
      <c r="O54" s="226"/>
      <c r="P54" s="226"/>
      <c r="Q54" s="226"/>
      <c r="R54" s="226"/>
      <c r="S54" s="226"/>
      <c r="T54" s="226"/>
    </row>
    <row r="55" spans="1:20" ht="15.05" customHeight="1">
      <c r="A55" s="226"/>
      <c r="B55" s="226"/>
      <c r="C55" s="226"/>
      <c r="D55" s="226"/>
      <c r="E55" s="226"/>
      <c r="F55" s="226"/>
      <c r="G55" s="226"/>
      <c r="H55" s="226"/>
      <c r="I55" s="226"/>
      <c r="J55" s="226"/>
      <c r="K55" s="226"/>
      <c r="L55" s="226"/>
      <c r="M55" s="226"/>
      <c r="N55" s="226"/>
      <c r="O55" s="226"/>
      <c r="P55" s="226"/>
      <c r="Q55" s="226"/>
      <c r="R55" s="226"/>
      <c r="S55" s="226"/>
      <c r="T55" s="226"/>
    </row>
    <row r="56" spans="1:20" ht="15.05" customHeight="1">
      <c r="A56" s="226"/>
      <c r="B56" s="226"/>
      <c r="C56" s="226"/>
      <c r="D56" s="226"/>
      <c r="E56" s="226"/>
      <c r="F56" s="226"/>
      <c r="G56" s="226"/>
      <c r="H56" s="226"/>
      <c r="I56" s="226"/>
      <c r="J56" s="226"/>
      <c r="K56" s="226"/>
      <c r="L56" s="226"/>
      <c r="M56" s="226"/>
      <c r="N56" s="226"/>
      <c r="O56" s="226"/>
      <c r="P56" s="226"/>
      <c r="Q56" s="226"/>
      <c r="R56" s="226"/>
      <c r="S56" s="226"/>
      <c r="T56" s="226"/>
    </row>
    <row r="57" spans="1:20" ht="15.05" customHeight="1">
      <c r="A57" s="226"/>
      <c r="B57" s="226"/>
      <c r="C57" s="226"/>
      <c r="D57" s="226"/>
      <c r="E57" s="226"/>
      <c r="F57" s="226"/>
      <c r="G57" s="226"/>
      <c r="H57" s="226"/>
      <c r="I57" s="226"/>
      <c r="J57" s="226"/>
      <c r="K57" s="226"/>
      <c r="L57" s="226"/>
      <c r="M57" s="226"/>
      <c r="N57" s="226"/>
      <c r="O57" s="226"/>
      <c r="P57" s="226"/>
      <c r="Q57" s="226"/>
      <c r="R57" s="226"/>
      <c r="S57" s="226"/>
      <c r="T57" s="226"/>
    </row>
    <row r="58" spans="1:20" ht="15.05" customHeight="1">
      <c r="A58" s="226"/>
      <c r="B58" s="226"/>
      <c r="C58" s="226"/>
      <c r="D58" s="226"/>
      <c r="E58" s="226"/>
      <c r="F58" s="226"/>
      <c r="G58" s="226"/>
      <c r="H58" s="226"/>
      <c r="I58" s="226"/>
      <c r="J58" s="226"/>
      <c r="K58" s="226"/>
      <c r="L58" s="226"/>
      <c r="M58" s="226"/>
      <c r="N58" s="226"/>
      <c r="O58" s="226"/>
      <c r="P58" s="226"/>
      <c r="Q58" s="226"/>
      <c r="R58" s="226"/>
      <c r="S58" s="226"/>
      <c r="T58" s="226"/>
    </row>
    <row r="59" spans="1:20" ht="15.05" customHeight="1">
      <c r="A59" s="226"/>
      <c r="B59" s="226"/>
      <c r="C59" s="226"/>
      <c r="D59" s="226"/>
      <c r="E59" s="226"/>
      <c r="F59" s="226"/>
      <c r="G59" s="226"/>
      <c r="H59" s="226"/>
      <c r="I59" s="226"/>
      <c r="J59" s="226"/>
      <c r="K59" s="226"/>
      <c r="L59" s="226"/>
      <c r="M59" s="226"/>
      <c r="N59" s="226"/>
      <c r="O59" s="226"/>
      <c r="P59" s="226"/>
      <c r="Q59" s="226"/>
      <c r="R59" s="226"/>
      <c r="S59" s="226"/>
      <c r="T59" s="226"/>
    </row>
    <row r="60" spans="1:20" ht="15.05" customHeight="1">
      <c r="A60" s="226"/>
      <c r="B60" s="226"/>
      <c r="C60" s="226"/>
      <c r="D60" s="226"/>
      <c r="E60" s="226"/>
      <c r="F60" s="226"/>
      <c r="G60" s="226"/>
      <c r="H60" s="226"/>
      <c r="I60" s="226"/>
      <c r="J60" s="226"/>
      <c r="K60" s="226"/>
      <c r="L60" s="226"/>
      <c r="M60" s="226"/>
      <c r="N60" s="226"/>
      <c r="O60" s="226"/>
      <c r="P60" s="226"/>
      <c r="Q60" s="226"/>
      <c r="R60" s="226"/>
      <c r="S60" s="226"/>
      <c r="T60" s="226"/>
    </row>
    <row r="61" spans="1:20" ht="15.05" customHeight="1">
      <c r="A61" s="226"/>
      <c r="B61" s="226"/>
      <c r="C61" s="226"/>
      <c r="D61" s="226"/>
      <c r="E61" s="226"/>
      <c r="F61" s="226"/>
      <c r="G61" s="226"/>
      <c r="H61" s="226"/>
      <c r="I61" s="226"/>
      <c r="J61" s="226"/>
      <c r="K61" s="226"/>
      <c r="L61" s="226"/>
      <c r="M61" s="226"/>
      <c r="N61" s="226"/>
      <c r="O61" s="226"/>
      <c r="P61" s="226"/>
      <c r="Q61" s="226"/>
      <c r="R61" s="226"/>
      <c r="S61" s="226"/>
      <c r="T61" s="226"/>
    </row>
    <row r="62" spans="1:20" ht="15.05" customHeight="1"/>
    <row r="63" spans="1:20" ht="15.05" customHeight="1"/>
    <row r="64" spans="1:20" ht="15.05" customHeight="1"/>
    <row r="65" ht="15.05" customHeight="1"/>
    <row r="66" ht="15.05" customHeight="1"/>
  </sheetData>
  <sheetProtection algorithmName="SHA-512" hashValue="cg0INUYNzfx+1G0iPR5zK2I4sp11n5jq48aFer3wzl0FV0hANBtrzWW6VF9LXGPJY9924qm+6Vu1ROuwlbll/Q==" saltValue="8JVjSt9bZ/8SBXZMnGXK7w==" spinCount="100000" sheet="1" objects="1" scenarios="1" selectLockedCells="1" selectUnlockedCell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9DFBD-C1DB-4A84-B4BA-B17891B56B2A}">
  <dimension ref="A1:AC61"/>
  <sheetViews>
    <sheetView zoomScaleNormal="100" workbookViewId="0">
      <selection sqref="A1:IV65536"/>
    </sheetView>
  </sheetViews>
  <sheetFormatPr baseColWidth="10" defaultRowHeight="15.05"/>
  <cols>
    <col min="1" max="1" width="30.6640625" style="227" customWidth="1"/>
    <col min="2" max="6" width="11.5546875" style="227"/>
    <col min="7" max="7" width="11.5546875" style="227" customWidth="1"/>
    <col min="8" max="17" width="11.5546875" style="227"/>
    <col min="18" max="18" width="40.6640625" style="227" customWidth="1"/>
    <col min="19" max="16384" width="11.5546875" style="227"/>
  </cols>
  <sheetData>
    <row r="1" spans="1:29" ht="18.350000000000001">
      <c r="A1" s="226" t="s">
        <v>318</v>
      </c>
      <c r="B1" s="226" t="s">
        <v>3</v>
      </c>
      <c r="C1" s="226" t="s">
        <v>15</v>
      </c>
      <c r="D1" s="226" t="s">
        <v>16</v>
      </c>
      <c r="E1" s="226" t="s">
        <v>17</v>
      </c>
      <c r="F1" s="226" t="s">
        <v>18</v>
      </c>
      <c r="G1" s="226" t="s">
        <v>19</v>
      </c>
      <c r="H1" s="226" t="s">
        <v>20</v>
      </c>
      <c r="I1" s="226" t="s">
        <v>21</v>
      </c>
      <c r="J1" s="226" t="s">
        <v>34</v>
      </c>
      <c r="K1" s="226" t="s">
        <v>37</v>
      </c>
      <c r="L1" s="226" t="s">
        <v>52</v>
      </c>
      <c r="M1" s="226" t="s">
        <v>53</v>
      </c>
      <c r="N1" s="226" t="s">
        <v>54</v>
      </c>
      <c r="O1" s="226" t="s">
        <v>427</v>
      </c>
      <c r="P1" s="226" t="s">
        <v>428</v>
      </c>
      <c r="Q1" s="226" t="s">
        <v>429</v>
      </c>
      <c r="R1" s="226" t="s">
        <v>238</v>
      </c>
      <c r="AA1" s="228"/>
      <c r="AB1" s="228"/>
      <c r="AC1" s="228"/>
    </row>
    <row r="2" spans="1:29" ht="15.05" customHeight="1">
      <c r="A2" s="226" t="s">
        <v>103</v>
      </c>
      <c r="B2" s="226">
        <v>0</v>
      </c>
      <c r="C2" s="226">
        <v>0</v>
      </c>
      <c r="D2" s="226">
        <v>0</v>
      </c>
      <c r="E2" s="226">
        <v>0</v>
      </c>
      <c r="F2" s="226">
        <v>0</v>
      </c>
      <c r="G2" s="226">
        <v>0</v>
      </c>
      <c r="H2" s="226">
        <v>0</v>
      </c>
      <c r="I2" s="226">
        <v>0</v>
      </c>
      <c r="J2" s="226">
        <v>0</v>
      </c>
      <c r="K2" s="226">
        <v>0</v>
      </c>
      <c r="L2" s="226">
        <v>0</v>
      </c>
      <c r="M2" s="226">
        <v>0</v>
      </c>
      <c r="N2" s="226">
        <v>0</v>
      </c>
      <c r="O2" s="226">
        <v>0</v>
      </c>
      <c r="P2" s="226">
        <v>0</v>
      </c>
      <c r="Q2" s="226"/>
      <c r="R2" s="229"/>
      <c r="AA2" s="228"/>
      <c r="AB2" s="228"/>
      <c r="AC2" s="228"/>
    </row>
    <row r="3" spans="1:29" ht="15.05" customHeight="1">
      <c r="A3" s="226" t="s">
        <v>186</v>
      </c>
      <c r="B3" s="226">
        <v>45</v>
      </c>
      <c r="C3" s="226">
        <v>4</v>
      </c>
      <c r="D3" s="226">
        <v>1.4</v>
      </c>
      <c r="E3" s="226">
        <v>4.2</v>
      </c>
      <c r="F3" s="226">
        <v>0.84</v>
      </c>
      <c r="G3" s="226">
        <v>1E-3</v>
      </c>
      <c r="H3" s="226">
        <v>128</v>
      </c>
      <c r="I3" s="226">
        <v>98</v>
      </c>
      <c r="J3" s="226">
        <v>0.12</v>
      </c>
      <c r="K3" s="226">
        <v>0</v>
      </c>
      <c r="L3" s="226">
        <v>0.62</v>
      </c>
      <c r="M3" s="226">
        <v>0.06</v>
      </c>
      <c r="N3" s="226">
        <v>2.5999999999999999E-2</v>
      </c>
      <c r="O3" s="226">
        <v>1.3999999999999999E-4</v>
      </c>
      <c r="P3" s="226">
        <v>1.3999999999999999E-4</v>
      </c>
      <c r="Q3" s="226"/>
      <c r="R3" s="229" t="s">
        <v>191</v>
      </c>
      <c r="AA3" s="228"/>
      <c r="AB3" s="228"/>
      <c r="AC3" s="228"/>
    </row>
    <row r="4" spans="1:29" ht="15.05" customHeight="1">
      <c r="A4" s="226" t="s">
        <v>187</v>
      </c>
      <c r="B4" s="226">
        <v>61</v>
      </c>
      <c r="C4" s="226">
        <v>3.7</v>
      </c>
      <c r="D4" s="226">
        <v>3.5</v>
      </c>
      <c r="E4" s="226">
        <v>3.6</v>
      </c>
      <c r="F4" s="226">
        <v>0.84</v>
      </c>
      <c r="G4" s="226">
        <v>1E-3</v>
      </c>
      <c r="H4" s="226">
        <v>128</v>
      </c>
      <c r="I4" s="226">
        <v>98</v>
      </c>
      <c r="J4" s="226">
        <v>0.12</v>
      </c>
      <c r="K4" s="226">
        <v>0</v>
      </c>
      <c r="L4" s="226">
        <v>0.62</v>
      </c>
      <c r="M4" s="226">
        <v>0.06</v>
      </c>
      <c r="N4" s="226">
        <v>2.5999999999999999E-2</v>
      </c>
      <c r="O4" s="226">
        <v>1.3999999999999999E-4</v>
      </c>
      <c r="P4" s="226">
        <v>1.3999999999999999E-4</v>
      </c>
      <c r="Q4" s="226"/>
      <c r="R4" s="229" t="s">
        <v>192</v>
      </c>
      <c r="AA4" s="228"/>
      <c r="AB4" s="228"/>
      <c r="AC4" s="228"/>
    </row>
    <row r="5" spans="1:29" ht="15.05" customHeight="1">
      <c r="A5" s="226" t="s">
        <v>188</v>
      </c>
      <c r="B5" s="226">
        <v>64</v>
      </c>
      <c r="C5" s="226">
        <v>3.5</v>
      </c>
      <c r="D5" s="226">
        <v>3.5</v>
      </c>
      <c r="E5" s="226">
        <v>4.7</v>
      </c>
      <c r="F5" s="226">
        <v>0.84</v>
      </c>
      <c r="G5" s="226">
        <v>1E-3</v>
      </c>
      <c r="H5" s="226">
        <v>125</v>
      </c>
      <c r="I5" s="226">
        <v>98</v>
      </c>
      <c r="J5" s="226">
        <v>0.12</v>
      </c>
      <c r="K5" s="226">
        <v>0</v>
      </c>
      <c r="L5" s="226">
        <v>0.62</v>
      </c>
      <c r="M5" s="226">
        <v>0.06</v>
      </c>
      <c r="N5" s="226">
        <v>2.5999999999999999E-2</v>
      </c>
      <c r="O5" s="226">
        <v>1.3999999999999999E-4</v>
      </c>
      <c r="P5" s="226">
        <v>1.3999999999999999E-4</v>
      </c>
      <c r="Q5" s="226"/>
      <c r="R5" s="229" t="s">
        <v>193</v>
      </c>
      <c r="AA5" s="230"/>
      <c r="AB5" s="230"/>
      <c r="AC5" s="230"/>
    </row>
    <row r="6" spans="1:29" ht="15.05" customHeight="1">
      <c r="A6" s="226" t="s">
        <v>185</v>
      </c>
      <c r="B6" s="226">
        <v>72</v>
      </c>
      <c r="C6" s="226">
        <v>6.9</v>
      </c>
      <c r="D6" s="226">
        <v>3</v>
      </c>
      <c r="E6" s="226">
        <v>4.4000000000000004</v>
      </c>
      <c r="F6" s="226">
        <v>0.84</v>
      </c>
      <c r="G6" s="226">
        <v>1E-3</v>
      </c>
      <c r="H6" s="226">
        <v>130</v>
      </c>
      <c r="I6" s="226">
        <v>98</v>
      </c>
      <c r="J6" s="226">
        <v>0.12</v>
      </c>
      <c r="K6" s="226">
        <v>0</v>
      </c>
      <c r="L6" s="226">
        <v>0.62</v>
      </c>
      <c r="M6" s="226">
        <v>0.06</v>
      </c>
      <c r="N6" s="226">
        <v>2.5999999999999999E-2</v>
      </c>
      <c r="O6" s="226">
        <v>1.3999999999999999E-4</v>
      </c>
      <c r="P6" s="226">
        <v>1.3999999999999999E-4</v>
      </c>
      <c r="Q6" s="226"/>
      <c r="R6" s="229" t="s">
        <v>738</v>
      </c>
      <c r="AA6" s="230"/>
      <c r="AB6" s="230"/>
      <c r="AC6" s="230"/>
    </row>
    <row r="7" spans="1:29" ht="15.05" customHeight="1">
      <c r="A7" s="226" t="s">
        <v>184</v>
      </c>
      <c r="B7" s="226">
        <v>118</v>
      </c>
      <c r="C7" s="226">
        <v>3.9</v>
      </c>
      <c r="D7" s="226">
        <v>10</v>
      </c>
      <c r="E7" s="226">
        <v>3.1</v>
      </c>
      <c r="F7" s="226">
        <v>0.84</v>
      </c>
      <c r="G7" s="226">
        <v>1E-3</v>
      </c>
      <c r="H7" s="226">
        <v>128</v>
      </c>
      <c r="I7" s="226">
        <v>98</v>
      </c>
      <c r="J7" s="226">
        <v>0.12</v>
      </c>
      <c r="K7" s="226">
        <v>0</v>
      </c>
      <c r="L7" s="226">
        <v>0.62</v>
      </c>
      <c r="M7" s="226">
        <v>0.06</v>
      </c>
      <c r="N7" s="226">
        <v>2.5999999999999999E-2</v>
      </c>
      <c r="O7" s="226">
        <v>1.3999999999999999E-4</v>
      </c>
      <c r="P7" s="226">
        <v>1.3999999999999999E-4</v>
      </c>
      <c r="Q7" s="226"/>
      <c r="R7" s="229" t="s">
        <v>739</v>
      </c>
      <c r="AA7" s="230"/>
      <c r="AB7" s="230" t="s">
        <v>224</v>
      </c>
      <c r="AC7" s="230"/>
    </row>
    <row r="8" spans="1:29" ht="15.05" customHeight="1">
      <c r="A8" s="226" t="s">
        <v>747</v>
      </c>
      <c r="B8" s="226">
        <v>77</v>
      </c>
      <c r="C8" s="226">
        <v>4.0999999999999996</v>
      </c>
      <c r="D8" s="226">
        <v>4.9000000000000004</v>
      </c>
      <c r="E8" s="226">
        <v>4.2</v>
      </c>
      <c r="F8" s="226">
        <v>0.84</v>
      </c>
      <c r="G8" s="226">
        <v>1E-3</v>
      </c>
      <c r="H8" s="226">
        <v>143</v>
      </c>
      <c r="I8" s="226">
        <v>98</v>
      </c>
      <c r="J8" s="226">
        <v>0.12</v>
      </c>
      <c r="K8" s="226">
        <v>0</v>
      </c>
      <c r="L8" s="226">
        <v>0.62</v>
      </c>
      <c r="M8" s="226">
        <v>0.06</v>
      </c>
      <c r="N8" s="226">
        <v>2.5999999999999999E-2</v>
      </c>
      <c r="O8" s="226">
        <v>1.3999999999999999E-4</v>
      </c>
      <c r="P8" s="226">
        <v>1.3999999999999999E-4</v>
      </c>
      <c r="Q8" s="226"/>
      <c r="R8" s="229" t="s">
        <v>740</v>
      </c>
      <c r="AA8" s="230"/>
      <c r="AB8" s="230"/>
      <c r="AC8" s="230"/>
    </row>
    <row r="9" spans="1:29" ht="15.05" customHeight="1">
      <c r="A9" s="226" t="s">
        <v>195</v>
      </c>
      <c r="B9" s="226">
        <v>68</v>
      </c>
      <c r="C9" s="226">
        <v>5.5</v>
      </c>
      <c r="D9" s="226">
        <v>3</v>
      </c>
      <c r="E9" s="226">
        <v>4.8</v>
      </c>
      <c r="F9" s="226">
        <v>0.84</v>
      </c>
      <c r="G9" s="226">
        <v>1E-3</v>
      </c>
      <c r="H9" s="226">
        <v>128</v>
      </c>
      <c r="I9" s="226">
        <v>98</v>
      </c>
      <c r="J9" s="226">
        <v>0.12</v>
      </c>
      <c r="K9" s="226">
        <v>0</v>
      </c>
      <c r="L9" s="226">
        <v>0.62</v>
      </c>
      <c r="M9" s="226">
        <v>0.06</v>
      </c>
      <c r="N9" s="226">
        <v>2.5999999999999999E-2</v>
      </c>
      <c r="O9" s="226">
        <v>1.3999999999999999E-4</v>
      </c>
      <c r="P9" s="226">
        <v>1.3999999999999999E-4</v>
      </c>
      <c r="Q9" s="226"/>
      <c r="R9" s="229" t="s">
        <v>741</v>
      </c>
      <c r="AA9" s="230"/>
      <c r="AB9" s="230" t="s">
        <v>225</v>
      </c>
      <c r="AC9" s="230"/>
    </row>
    <row r="10" spans="1:29" ht="15.05" customHeight="1">
      <c r="A10" s="226" t="s">
        <v>189</v>
      </c>
      <c r="B10" s="226">
        <v>39</v>
      </c>
      <c r="C10" s="226">
        <v>4.0999999999999996</v>
      </c>
      <c r="D10" s="226">
        <v>0.1</v>
      </c>
      <c r="E10" s="226">
        <v>5.5</v>
      </c>
      <c r="F10" s="226">
        <v>0.84</v>
      </c>
      <c r="G10" s="226">
        <v>1E-3</v>
      </c>
      <c r="H10" s="226">
        <v>147</v>
      </c>
      <c r="I10" s="226">
        <v>98</v>
      </c>
      <c r="J10" s="226">
        <v>0.12</v>
      </c>
      <c r="K10" s="226">
        <v>0</v>
      </c>
      <c r="L10" s="226">
        <v>0.62</v>
      </c>
      <c r="M10" s="226">
        <v>0.06</v>
      </c>
      <c r="N10" s="226">
        <v>2.5999999999999999E-2</v>
      </c>
      <c r="O10" s="226">
        <v>1.3999999999999999E-4</v>
      </c>
      <c r="P10" s="226">
        <v>1.3999999999999999E-4</v>
      </c>
      <c r="Q10" s="226"/>
      <c r="R10" s="229" t="s">
        <v>194</v>
      </c>
      <c r="AA10" s="230"/>
      <c r="AB10" s="230"/>
      <c r="AC10" s="230"/>
    </row>
    <row r="11" spans="1:29" ht="15.05" customHeight="1">
      <c r="A11" s="226" t="s">
        <v>183</v>
      </c>
      <c r="B11" s="226">
        <v>34</v>
      </c>
      <c r="C11" s="226">
        <v>4.5999999999999996</v>
      </c>
      <c r="D11" s="226">
        <v>0.1</v>
      </c>
      <c r="E11" s="226">
        <v>3.6</v>
      </c>
      <c r="F11" s="226">
        <v>0.84</v>
      </c>
      <c r="G11" s="226">
        <v>1E-3</v>
      </c>
      <c r="H11" s="226">
        <v>128</v>
      </c>
      <c r="I11" s="226">
        <v>98</v>
      </c>
      <c r="J11" s="226">
        <v>0.12</v>
      </c>
      <c r="K11" s="226">
        <v>0</v>
      </c>
      <c r="L11" s="226">
        <v>0.62</v>
      </c>
      <c r="M11" s="226">
        <v>0.06</v>
      </c>
      <c r="N11" s="226">
        <v>2.5999999999999999E-2</v>
      </c>
      <c r="O11" s="226">
        <v>1.3999999999999999E-4</v>
      </c>
      <c r="P11" s="226">
        <v>1.3999999999999999E-4</v>
      </c>
      <c r="Q11" s="226"/>
      <c r="R11" s="229" t="s">
        <v>190</v>
      </c>
      <c r="AA11" s="230"/>
      <c r="AB11" s="230" t="s">
        <v>226</v>
      </c>
      <c r="AC11" s="230"/>
    </row>
    <row r="12" spans="1:29" ht="15.05" customHeight="1">
      <c r="A12" s="226" t="s">
        <v>196</v>
      </c>
      <c r="B12" s="226">
        <v>39</v>
      </c>
      <c r="C12" s="226">
        <v>5.0999999999999996</v>
      </c>
      <c r="D12" s="226">
        <v>0.2</v>
      </c>
      <c r="E12" s="226">
        <v>4.0999999999999996</v>
      </c>
      <c r="F12" s="226">
        <v>0.84</v>
      </c>
      <c r="G12" s="226">
        <v>1E-3</v>
      </c>
      <c r="H12" s="226">
        <v>170</v>
      </c>
      <c r="I12" s="226">
        <v>98</v>
      </c>
      <c r="J12" s="226">
        <v>0.12</v>
      </c>
      <c r="K12" s="226">
        <v>0</v>
      </c>
      <c r="L12" s="226">
        <v>0.62</v>
      </c>
      <c r="M12" s="226">
        <v>0.06</v>
      </c>
      <c r="N12" s="226">
        <v>2.5999999999999999E-2</v>
      </c>
      <c r="O12" s="226">
        <v>1.3999999999999999E-4</v>
      </c>
      <c r="P12" s="226">
        <v>1.3999999999999999E-4</v>
      </c>
      <c r="Q12" s="226"/>
      <c r="R12" s="229" t="s">
        <v>742</v>
      </c>
      <c r="AA12" s="230"/>
      <c r="AB12" s="230" t="s">
        <v>227</v>
      </c>
      <c r="AC12" s="230"/>
    </row>
    <row r="13" spans="1:29" ht="15.05" customHeight="1">
      <c r="A13" s="226"/>
      <c r="B13" s="226"/>
      <c r="C13" s="226"/>
      <c r="D13" s="226"/>
      <c r="E13" s="226"/>
      <c r="F13" s="226"/>
      <c r="G13" s="226"/>
      <c r="H13" s="226"/>
      <c r="I13" s="226"/>
      <c r="J13" s="226"/>
      <c r="K13" s="226"/>
      <c r="L13" s="226"/>
      <c r="M13" s="226"/>
      <c r="N13" s="226"/>
      <c r="O13" s="226"/>
      <c r="P13" s="226"/>
      <c r="Q13" s="226"/>
      <c r="R13" s="229"/>
      <c r="AA13" s="230"/>
      <c r="AB13" s="230" t="s">
        <v>228</v>
      </c>
      <c r="AC13" s="230"/>
    </row>
    <row r="14" spans="1:29" ht="15.05" customHeight="1">
      <c r="A14" s="226"/>
      <c r="B14" s="226"/>
      <c r="C14" s="226"/>
      <c r="D14" s="226"/>
      <c r="E14" s="226"/>
      <c r="F14" s="226"/>
      <c r="G14" s="226"/>
      <c r="H14" s="226"/>
      <c r="I14" s="226"/>
      <c r="J14" s="226"/>
      <c r="K14" s="226"/>
      <c r="L14" s="226"/>
      <c r="M14" s="226"/>
      <c r="N14" s="226"/>
      <c r="O14" s="226"/>
      <c r="P14" s="226"/>
      <c r="Q14" s="226"/>
      <c r="R14" s="229"/>
      <c r="AA14" s="230"/>
      <c r="AB14" s="230"/>
      <c r="AC14" s="230"/>
    </row>
    <row r="15" spans="1:29" ht="15.05" customHeight="1">
      <c r="A15" s="226"/>
      <c r="B15" s="226"/>
      <c r="C15" s="226"/>
      <c r="D15" s="226"/>
      <c r="E15" s="226"/>
      <c r="F15" s="226"/>
      <c r="G15" s="226"/>
      <c r="H15" s="226"/>
      <c r="I15" s="226"/>
      <c r="J15" s="226"/>
      <c r="K15" s="226"/>
      <c r="L15" s="226"/>
      <c r="M15" s="226"/>
      <c r="N15" s="226"/>
      <c r="O15" s="226"/>
      <c r="P15" s="226"/>
      <c r="Q15" s="226"/>
      <c r="R15" s="229"/>
      <c r="AA15" s="230"/>
      <c r="AB15" s="230" t="s">
        <v>229</v>
      </c>
      <c r="AC15" s="230"/>
    </row>
    <row r="16" spans="1:29" ht="15.05" customHeight="1">
      <c r="A16" s="226"/>
      <c r="B16" s="226"/>
      <c r="C16" s="226"/>
      <c r="D16" s="226"/>
      <c r="E16" s="226"/>
      <c r="F16" s="226" t="s">
        <v>886</v>
      </c>
      <c r="G16" s="226"/>
      <c r="H16" s="226"/>
      <c r="I16" s="231" t="s">
        <v>435</v>
      </c>
      <c r="J16" s="231"/>
      <c r="K16" s="231"/>
      <c r="L16" s="226"/>
      <c r="M16" s="226"/>
      <c r="N16" s="226"/>
      <c r="O16" s="226"/>
      <c r="P16" s="226"/>
      <c r="Q16" s="226"/>
      <c r="R16" s="229"/>
      <c r="AA16" s="230"/>
      <c r="AB16" s="230"/>
      <c r="AC16" s="230"/>
    </row>
    <row r="17" spans="1:29" ht="15.05" customHeight="1">
      <c r="A17" s="226"/>
      <c r="B17" s="226"/>
      <c r="C17" s="226"/>
      <c r="D17" s="226"/>
      <c r="E17" s="226"/>
      <c r="F17" s="232">
        <v>44330</v>
      </c>
      <c r="G17" s="226"/>
      <c r="H17" s="226"/>
      <c r="I17" s="231"/>
      <c r="J17" s="231"/>
      <c r="K17" s="231"/>
      <c r="L17" s="226"/>
      <c r="M17" s="226"/>
      <c r="N17" s="226"/>
      <c r="O17" s="226"/>
      <c r="P17" s="226"/>
      <c r="Q17" s="226"/>
      <c r="R17" s="229"/>
      <c r="AA17" s="230"/>
      <c r="AB17" s="230"/>
      <c r="AC17" s="230"/>
    </row>
    <row r="18" spans="1:29" ht="15.05" customHeight="1">
      <c r="A18" s="226"/>
      <c r="B18" s="226"/>
      <c r="C18" s="226"/>
      <c r="D18" s="226"/>
      <c r="E18" s="226"/>
      <c r="F18" s="226"/>
      <c r="G18" s="226"/>
      <c r="H18" s="226"/>
      <c r="I18" s="231"/>
      <c r="J18" s="231"/>
      <c r="K18" s="231"/>
      <c r="L18" s="226"/>
      <c r="M18" s="226"/>
      <c r="N18" s="226"/>
      <c r="O18" s="226"/>
      <c r="P18" s="226"/>
      <c r="Q18" s="226"/>
      <c r="R18" s="229"/>
      <c r="AA18" s="233"/>
      <c r="AB18" s="233"/>
      <c r="AC18" s="233"/>
    </row>
    <row r="19" spans="1:29" ht="15.05" customHeight="1">
      <c r="A19" s="226"/>
      <c r="B19" s="226"/>
      <c r="C19" s="226"/>
      <c r="D19" s="226"/>
      <c r="E19" s="226"/>
      <c r="F19" s="226"/>
      <c r="G19" s="226"/>
      <c r="H19" s="226"/>
      <c r="I19" s="226"/>
      <c r="J19" s="226"/>
      <c r="K19" s="226"/>
      <c r="L19" s="226"/>
      <c r="M19" s="226"/>
      <c r="N19" s="226"/>
      <c r="O19" s="226"/>
      <c r="P19" s="226"/>
      <c r="Q19" s="226"/>
      <c r="R19" s="229"/>
      <c r="AA19" s="233"/>
      <c r="AB19" s="233"/>
      <c r="AC19" s="233"/>
    </row>
    <row r="20" spans="1:29" ht="15.05" customHeight="1">
      <c r="A20" s="226"/>
      <c r="B20" s="226"/>
      <c r="C20" s="226"/>
      <c r="D20" s="226"/>
      <c r="E20" s="226"/>
      <c r="F20" s="226"/>
      <c r="G20" s="226"/>
      <c r="H20" s="226"/>
      <c r="I20" s="226"/>
      <c r="J20" s="226"/>
      <c r="K20" s="226"/>
      <c r="L20" s="226"/>
      <c r="M20" s="226"/>
      <c r="N20" s="226"/>
      <c r="O20" s="226"/>
      <c r="P20" s="226"/>
      <c r="Q20" s="226"/>
      <c r="R20" s="229"/>
      <c r="AA20" s="233"/>
      <c r="AB20" s="233"/>
      <c r="AC20" s="233"/>
    </row>
    <row r="21" spans="1:29" ht="15.05" customHeight="1">
      <c r="A21" s="226"/>
      <c r="B21" s="226"/>
      <c r="C21" s="226"/>
      <c r="D21" s="226"/>
      <c r="E21" s="226"/>
      <c r="F21" s="226"/>
      <c r="G21" s="226"/>
      <c r="H21" s="226"/>
      <c r="I21" s="226"/>
      <c r="J21" s="226"/>
      <c r="K21" s="226"/>
      <c r="L21" s="226"/>
      <c r="M21" s="226"/>
      <c r="N21" s="226"/>
      <c r="O21" s="226"/>
      <c r="P21" s="226"/>
      <c r="Q21" s="226"/>
      <c r="R21" s="229"/>
      <c r="AA21" s="233"/>
      <c r="AB21" s="233"/>
      <c r="AC21" s="233"/>
    </row>
    <row r="22" spans="1:29" ht="15.05" customHeight="1">
      <c r="A22" s="226"/>
      <c r="B22" s="226"/>
      <c r="C22" s="226"/>
      <c r="D22" s="226"/>
      <c r="E22" s="226"/>
      <c r="F22" s="226"/>
      <c r="G22" s="226"/>
      <c r="H22" s="226"/>
      <c r="I22" s="226"/>
      <c r="J22" s="226"/>
      <c r="K22" s="226"/>
      <c r="L22" s="226"/>
      <c r="M22" s="226"/>
      <c r="N22" s="226"/>
      <c r="O22" s="226"/>
      <c r="P22" s="226"/>
      <c r="Q22" s="226"/>
      <c r="R22" s="229"/>
      <c r="AA22" s="233"/>
      <c r="AB22" s="233"/>
      <c r="AC22" s="233"/>
    </row>
    <row r="23" spans="1:29" ht="15.05" customHeight="1">
      <c r="A23" s="226"/>
      <c r="B23" s="226"/>
      <c r="C23" s="226"/>
      <c r="D23" s="226"/>
      <c r="E23" s="226"/>
      <c r="F23" s="226"/>
      <c r="G23" s="226"/>
      <c r="H23" s="226"/>
      <c r="I23" s="226"/>
      <c r="J23" s="226"/>
      <c r="K23" s="226"/>
      <c r="L23" s="226"/>
      <c r="M23" s="226"/>
      <c r="N23" s="226"/>
      <c r="O23" s="226"/>
      <c r="P23" s="226"/>
      <c r="Q23" s="226"/>
      <c r="R23" s="229"/>
      <c r="AA23" s="233"/>
      <c r="AB23" s="233"/>
      <c r="AC23" s="233"/>
    </row>
    <row r="24" spans="1:29" ht="15.05" customHeight="1">
      <c r="A24" s="226"/>
      <c r="B24" s="226"/>
      <c r="C24" s="226"/>
      <c r="D24" s="226"/>
      <c r="E24" s="226"/>
      <c r="F24" s="226"/>
      <c r="G24" s="226"/>
      <c r="H24" s="226"/>
      <c r="I24" s="226"/>
      <c r="J24" s="226"/>
      <c r="K24" s="226"/>
      <c r="L24" s="226"/>
      <c r="M24" s="226"/>
      <c r="N24" s="226"/>
      <c r="O24" s="226"/>
      <c r="P24" s="226"/>
      <c r="Q24" s="226"/>
      <c r="R24" s="229"/>
      <c r="AA24" s="233"/>
      <c r="AB24" s="233"/>
      <c r="AC24" s="233"/>
    </row>
    <row r="25" spans="1:29" ht="15.05" customHeight="1">
      <c r="A25" s="226"/>
      <c r="B25" s="226"/>
      <c r="C25" s="226"/>
      <c r="D25" s="226"/>
      <c r="E25" s="226"/>
      <c r="F25" s="226"/>
      <c r="G25" s="226"/>
      <c r="H25" s="226"/>
      <c r="I25" s="226"/>
      <c r="J25" s="226"/>
      <c r="K25" s="226"/>
      <c r="L25" s="226"/>
      <c r="M25" s="226"/>
      <c r="N25" s="226"/>
      <c r="O25" s="226"/>
      <c r="P25" s="226"/>
      <c r="Q25" s="226"/>
      <c r="R25" s="229"/>
      <c r="AA25" s="233"/>
      <c r="AB25" s="233"/>
      <c r="AC25" s="233"/>
    </row>
    <row r="26" spans="1:29" ht="15.05" customHeight="1">
      <c r="A26" s="226"/>
      <c r="B26" s="226"/>
      <c r="C26" s="226"/>
      <c r="D26" s="226"/>
      <c r="E26" s="226"/>
      <c r="F26" s="226"/>
      <c r="G26" s="226"/>
      <c r="H26" s="226"/>
      <c r="I26" s="226"/>
      <c r="J26" s="226"/>
      <c r="K26" s="226"/>
      <c r="L26" s="226"/>
      <c r="M26" s="226"/>
      <c r="N26" s="226"/>
      <c r="O26" s="226"/>
      <c r="P26" s="226"/>
      <c r="Q26" s="226"/>
      <c r="R26" s="229"/>
      <c r="AA26" s="233"/>
      <c r="AB26" s="233"/>
      <c r="AC26" s="233"/>
    </row>
    <row r="27" spans="1:29" ht="15.05" customHeight="1">
      <c r="A27" s="226"/>
      <c r="B27" s="226"/>
      <c r="C27" s="226"/>
      <c r="D27" s="226"/>
      <c r="E27" s="226"/>
      <c r="F27" s="226"/>
      <c r="G27" s="226"/>
      <c r="H27" s="226"/>
      <c r="I27" s="226"/>
      <c r="J27" s="226"/>
      <c r="K27" s="226"/>
      <c r="L27" s="226"/>
      <c r="M27" s="226"/>
      <c r="N27" s="226"/>
      <c r="O27" s="226"/>
      <c r="P27" s="226"/>
      <c r="Q27" s="226"/>
      <c r="R27" s="229"/>
      <c r="AA27" s="233"/>
      <c r="AB27" s="233"/>
      <c r="AC27" s="233"/>
    </row>
    <row r="28" spans="1:29" ht="15.05" customHeight="1">
      <c r="A28" s="226"/>
      <c r="B28" s="226"/>
      <c r="C28" s="226"/>
      <c r="D28" s="226"/>
      <c r="E28" s="226"/>
      <c r="F28" s="226"/>
      <c r="G28" s="226"/>
      <c r="H28" s="226"/>
      <c r="I28" s="226"/>
      <c r="J28" s="226"/>
      <c r="K28" s="226"/>
      <c r="L28" s="226"/>
      <c r="M28" s="226"/>
      <c r="N28" s="226"/>
      <c r="O28" s="226"/>
      <c r="P28" s="226"/>
      <c r="Q28" s="226"/>
      <c r="R28" s="229"/>
      <c r="AA28" s="233"/>
      <c r="AB28" s="233"/>
      <c r="AC28" s="233"/>
    </row>
    <row r="29" spans="1:29" ht="15.05" customHeight="1">
      <c r="A29" s="226"/>
      <c r="B29" s="226"/>
      <c r="C29" s="226"/>
      <c r="D29" s="226"/>
      <c r="E29" s="226"/>
      <c r="F29" s="226"/>
      <c r="G29" s="226"/>
      <c r="H29" s="226"/>
      <c r="I29" s="226"/>
      <c r="J29" s="226"/>
      <c r="K29" s="226"/>
      <c r="L29" s="226"/>
      <c r="M29" s="226"/>
      <c r="N29" s="226"/>
      <c r="O29" s="226"/>
      <c r="P29" s="226"/>
      <c r="Q29" s="226"/>
      <c r="R29" s="229"/>
      <c r="AA29" s="233"/>
      <c r="AB29" s="233"/>
      <c r="AC29" s="233"/>
    </row>
    <row r="30" spans="1:29" ht="15.05" customHeight="1">
      <c r="A30" s="226"/>
      <c r="B30" s="226"/>
      <c r="C30" s="226"/>
      <c r="D30" s="226"/>
      <c r="E30" s="226"/>
      <c r="F30" s="226"/>
      <c r="G30" s="226"/>
      <c r="H30" s="226"/>
      <c r="I30" s="226"/>
      <c r="J30" s="226"/>
      <c r="K30" s="226"/>
      <c r="L30" s="226"/>
      <c r="M30" s="226"/>
      <c r="N30" s="226"/>
      <c r="O30" s="226"/>
      <c r="P30" s="226"/>
      <c r="Q30" s="226"/>
      <c r="R30" s="229"/>
      <c r="AA30" s="233"/>
      <c r="AB30" s="233"/>
      <c r="AC30" s="233"/>
    </row>
    <row r="31" spans="1:29" ht="15.05" customHeight="1">
      <c r="A31" s="226"/>
      <c r="B31" s="226"/>
      <c r="C31" s="226"/>
      <c r="D31" s="226"/>
      <c r="E31" s="226"/>
      <c r="F31" s="226"/>
      <c r="G31" s="226"/>
      <c r="H31" s="226"/>
      <c r="I31" s="226"/>
      <c r="J31" s="226"/>
      <c r="K31" s="226"/>
      <c r="L31" s="226"/>
      <c r="M31" s="226"/>
      <c r="N31" s="226"/>
      <c r="O31" s="226"/>
      <c r="P31" s="226"/>
      <c r="Q31" s="226"/>
      <c r="R31" s="229"/>
      <c r="AA31" s="233"/>
      <c r="AB31" s="233"/>
      <c r="AC31" s="233"/>
    </row>
    <row r="32" spans="1:29" ht="15.05" customHeight="1">
      <c r="A32" s="226"/>
      <c r="B32" s="226"/>
      <c r="C32" s="226"/>
      <c r="D32" s="226"/>
      <c r="E32" s="226"/>
      <c r="F32" s="226"/>
      <c r="G32" s="226"/>
      <c r="H32" s="226"/>
      <c r="I32" s="226"/>
      <c r="J32" s="226"/>
      <c r="K32" s="226"/>
      <c r="L32" s="226"/>
      <c r="M32" s="226"/>
      <c r="N32" s="226"/>
      <c r="O32" s="226"/>
      <c r="P32" s="226"/>
      <c r="Q32" s="226"/>
      <c r="R32" s="229"/>
      <c r="AA32" s="233"/>
      <c r="AB32" s="233"/>
      <c r="AC32" s="233"/>
    </row>
    <row r="33" spans="1:29" ht="15.05" customHeight="1">
      <c r="A33" s="226"/>
      <c r="B33" s="226"/>
      <c r="C33" s="226"/>
      <c r="D33" s="226"/>
      <c r="E33" s="226"/>
      <c r="F33" s="226"/>
      <c r="G33" s="226"/>
      <c r="H33" s="226"/>
      <c r="I33" s="226"/>
      <c r="J33" s="226"/>
      <c r="K33" s="226"/>
      <c r="L33" s="226"/>
      <c r="M33" s="226"/>
      <c r="N33" s="226"/>
      <c r="O33" s="226"/>
      <c r="P33" s="226"/>
      <c r="Q33" s="226"/>
      <c r="R33" s="229"/>
      <c r="AA33" s="233"/>
      <c r="AB33" s="233"/>
      <c r="AC33" s="233"/>
    </row>
    <row r="34" spans="1:29" ht="15.05" customHeight="1">
      <c r="A34" s="226"/>
      <c r="B34" s="226"/>
      <c r="C34" s="226"/>
      <c r="D34" s="226"/>
      <c r="E34" s="226"/>
      <c r="F34" s="226"/>
      <c r="G34" s="226"/>
      <c r="H34" s="226"/>
      <c r="I34" s="226"/>
      <c r="J34" s="226"/>
      <c r="K34" s="226"/>
      <c r="L34" s="226"/>
      <c r="M34" s="226"/>
      <c r="N34" s="226"/>
      <c r="O34" s="226"/>
      <c r="P34" s="226"/>
      <c r="Q34" s="226"/>
      <c r="R34" s="226"/>
      <c r="AA34" s="233"/>
      <c r="AB34" s="233"/>
      <c r="AC34" s="233"/>
    </row>
    <row r="35" spans="1:29" ht="15.05" customHeight="1">
      <c r="A35" s="226"/>
      <c r="B35" s="226"/>
      <c r="C35" s="226"/>
      <c r="D35" s="226"/>
      <c r="E35" s="226"/>
      <c r="F35" s="226"/>
      <c r="G35" s="226"/>
      <c r="H35" s="226"/>
      <c r="I35" s="226"/>
      <c r="J35" s="226"/>
      <c r="K35" s="226"/>
      <c r="L35" s="226"/>
      <c r="M35" s="226"/>
      <c r="N35" s="226"/>
      <c r="O35" s="226"/>
      <c r="P35" s="226"/>
      <c r="Q35" s="226"/>
      <c r="R35" s="226"/>
      <c r="AA35" s="233"/>
      <c r="AB35" s="233"/>
      <c r="AC35" s="233"/>
    </row>
    <row r="36" spans="1:29" ht="15.05" customHeight="1">
      <c r="A36" s="226"/>
      <c r="B36" s="226"/>
      <c r="C36" s="226"/>
      <c r="D36" s="226"/>
      <c r="E36" s="226"/>
      <c r="F36" s="226"/>
      <c r="G36" s="226"/>
      <c r="H36" s="226"/>
      <c r="I36" s="226"/>
      <c r="J36" s="226"/>
      <c r="K36" s="226"/>
      <c r="L36" s="226"/>
      <c r="M36" s="226"/>
      <c r="N36" s="226"/>
      <c r="O36" s="226"/>
      <c r="P36" s="226"/>
      <c r="Q36" s="226"/>
      <c r="R36" s="226"/>
    </row>
    <row r="37" spans="1:29" ht="15.05" customHeight="1">
      <c r="A37" s="226"/>
      <c r="B37" s="226"/>
      <c r="C37" s="226"/>
      <c r="D37" s="226"/>
      <c r="E37" s="226"/>
      <c r="F37" s="226"/>
      <c r="G37" s="226"/>
      <c r="H37" s="226"/>
      <c r="I37" s="226"/>
      <c r="J37" s="226"/>
      <c r="K37" s="226"/>
      <c r="L37" s="226"/>
      <c r="M37" s="226"/>
      <c r="N37" s="226"/>
      <c r="O37" s="226"/>
      <c r="P37" s="226"/>
      <c r="Q37" s="226"/>
      <c r="R37" s="226"/>
    </row>
    <row r="38" spans="1:29" ht="15.05" customHeight="1">
      <c r="A38" s="226"/>
      <c r="B38" s="226"/>
      <c r="C38" s="226"/>
      <c r="D38" s="226"/>
      <c r="E38" s="226"/>
      <c r="F38" s="226"/>
      <c r="G38" s="226"/>
      <c r="H38" s="226"/>
      <c r="I38" s="226"/>
      <c r="J38" s="226"/>
      <c r="K38" s="226"/>
      <c r="L38" s="226"/>
      <c r="M38" s="226"/>
      <c r="N38" s="226"/>
      <c r="O38" s="226"/>
      <c r="P38" s="226"/>
      <c r="Q38" s="226"/>
      <c r="R38" s="226"/>
    </row>
    <row r="39" spans="1:29" ht="15.05" customHeight="1">
      <c r="A39" s="226"/>
      <c r="B39" s="226"/>
      <c r="C39" s="226"/>
      <c r="D39" s="226"/>
      <c r="E39" s="226"/>
      <c r="F39" s="226"/>
      <c r="G39" s="226"/>
      <c r="H39" s="226"/>
      <c r="I39" s="226"/>
      <c r="J39" s="226"/>
      <c r="K39" s="226"/>
      <c r="L39" s="226"/>
      <c r="M39" s="226"/>
      <c r="N39" s="226"/>
      <c r="O39" s="226"/>
      <c r="P39" s="226"/>
      <c r="Q39" s="226"/>
      <c r="R39" s="226"/>
    </row>
    <row r="40" spans="1:29" ht="15.05" customHeight="1">
      <c r="A40" s="226"/>
      <c r="B40" s="226"/>
      <c r="C40" s="226"/>
      <c r="D40" s="226"/>
      <c r="E40" s="226"/>
      <c r="F40" s="226"/>
      <c r="G40" s="226"/>
      <c r="H40" s="226"/>
      <c r="I40" s="226"/>
      <c r="J40" s="226"/>
      <c r="K40" s="226"/>
      <c r="L40" s="226"/>
      <c r="M40" s="226"/>
      <c r="N40" s="226"/>
      <c r="O40" s="226"/>
      <c r="P40" s="226"/>
      <c r="Q40" s="226"/>
      <c r="R40" s="226"/>
    </row>
    <row r="41" spans="1:29" ht="15.05" customHeight="1">
      <c r="A41" s="226"/>
      <c r="B41" s="226"/>
      <c r="C41" s="226"/>
      <c r="D41" s="226"/>
      <c r="E41" s="226"/>
      <c r="F41" s="226"/>
      <c r="G41" s="226"/>
      <c r="H41" s="226"/>
      <c r="I41" s="226"/>
      <c r="J41" s="226"/>
      <c r="K41" s="226"/>
      <c r="L41" s="226"/>
      <c r="M41" s="226"/>
      <c r="N41" s="226"/>
      <c r="O41" s="226"/>
      <c r="P41" s="226"/>
      <c r="Q41" s="226"/>
      <c r="R41" s="226"/>
    </row>
    <row r="42" spans="1:29" ht="15.05" customHeight="1">
      <c r="A42" s="226"/>
      <c r="B42" s="226"/>
      <c r="C42" s="226"/>
      <c r="D42" s="226"/>
      <c r="E42" s="226"/>
      <c r="F42" s="226"/>
      <c r="G42" s="226"/>
      <c r="H42" s="226"/>
      <c r="I42" s="226"/>
      <c r="J42" s="226"/>
      <c r="K42" s="226"/>
      <c r="L42" s="226"/>
      <c r="M42" s="226"/>
      <c r="N42" s="226"/>
      <c r="O42" s="226"/>
      <c r="P42" s="226"/>
      <c r="Q42" s="226"/>
      <c r="R42" s="226"/>
    </row>
    <row r="43" spans="1:29">
      <c r="A43" s="226"/>
      <c r="B43" s="226"/>
      <c r="C43" s="226"/>
      <c r="D43" s="226"/>
      <c r="E43" s="226"/>
      <c r="F43" s="226"/>
      <c r="G43" s="226"/>
      <c r="H43" s="226"/>
      <c r="I43" s="226"/>
      <c r="J43" s="226"/>
      <c r="K43" s="226"/>
      <c r="L43" s="226"/>
      <c r="M43" s="226"/>
      <c r="N43" s="226"/>
      <c r="O43" s="226"/>
      <c r="P43" s="226"/>
      <c r="Q43" s="226"/>
      <c r="R43" s="226"/>
    </row>
    <row r="44" spans="1:29">
      <c r="A44" s="226"/>
      <c r="B44" s="226"/>
      <c r="C44" s="226"/>
      <c r="D44" s="226"/>
      <c r="E44" s="226"/>
      <c r="F44" s="226"/>
      <c r="G44" s="226"/>
      <c r="H44" s="226"/>
      <c r="I44" s="226"/>
      <c r="J44" s="226"/>
      <c r="K44" s="226"/>
      <c r="L44" s="226"/>
      <c r="M44" s="226"/>
      <c r="N44" s="226"/>
      <c r="O44" s="226"/>
      <c r="P44" s="226"/>
      <c r="Q44" s="226"/>
      <c r="R44" s="226"/>
    </row>
    <row r="45" spans="1:29">
      <c r="A45" s="226"/>
      <c r="B45" s="226"/>
      <c r="C45" s="226"/>
      <c r="D45" s="226"/>
      <c r="E45" s="226"/>
      <c r="F45" s="226"/>
      <c r="G45" s="226"/>
      <c r="H45" s="226"/>
      <c r="I45" s="226"/>
      <c r="J45" s="226"/>
      <c r="K45" s="226"/>
      <c r="L45" s="226"/>
      <c r="M45" s="226"/>
      <c r="N45" s="226"/>
      <c r="O45" s="226"/>
      <c r="P45" s="226"/>
      <c r="Q45" s="226"/>
      <c r="R45" s="226"/>
    </row>
    <row r="46" spans="1:29">
      <c r="A46" s="226"/>
      <c r="B46" s="226"/>
      <c r="C46" s="226"/>
      <c r="D46" s="226"/>
      <c r="E46" s="226"/>
      <c r="F46" s="226"/>
      <c r="G46" s="226"/>
      <c r="H46" s="226"/>
      <c r="I46" s="226"/>
      <c r="J46" s="226"/>
      <c r="K46" s="226"/>
      <c r="L46" s="226"/>
      <c r="M46" s="226"/>
      <c r="N46" s="226"/>
      <c r="O46" s="226"/>
      <c r="P46" s="226"/>
      <c r="Q46" s="226"/>
      <c r="R46" s="226"/>
    </row>
    <row r="47" spans="1:29">
      <c r="A47" s="226"/>
      <c r="B47" s="226"/>
      <c r="C47" s="226"/>
      <c r="D47" s="226"/>
      <c r="E47" s="226"/>
      <c r="F47" s="226"/>
      <c r="G47" s="226"/>
      <c r="H47" s="226"/>
      <c r="I47" s="226"/>
      <c r="J47" s="226"/>
      <c r="K47" s="226"/>
      <c r="L47" s="226"/>
      <c r="M47" s="226"/>
      <c r="N47" s="226"/>
      <c r="O47" s="226"/>
      <c r="P47" s="226"/>
      <c r="Q47" s="226"/>
      <c r="R47" s="226"/>
    </row>
    <row r="48" spans="1:29">
      <c r="A48" s="226"/>
      <c r="B48" s="226"/>
      <c r="C48" s="226"/>
      <c r="D48" s="226"/>
      <c r="E48" s="226"/>
      <c r="F48" s="226"/>
      <c r="G48" s="226"/>
      <c r="H48" s="226"/>
      <c r="I48" s="226"/>
      <c r="J48" s="226"/>
      <c r="K48" s="226"/>
      <c r="L48" s="226"/>
      <c r="M48" s="226"/>
      <c r="N48" s="226"/>
      <c r="O48" s="226"/>
      <c r="P48" s="226"/>
      <c r="Q48" s="226"/>
      <c r="R48" s="226"/>
    </row>
    <row r="49" spans="1:18">
      <c r="A49" s="226"/>
      <c r="B49" s="226"/>
      <c r="C49" s="226"/>
      <c r="D49" s="226"/>
      <c r="E49" s="226"/>
      <c r="F49" s="226"/>
      <c r="G49" s="226"/>
      <c r="H49" s="226"/>
      <c r="I49" s="226"/>
      <c r="J49" s="226"/>
      <c r="K49" s="226"/>
      <c r="L49" s="226"/>
      <c r="M49" s="226"/>
      <c r="N49" s="226"/>
      <c r="O49" s="226"/>
      <c r="P49" s="226"/>
      <c r="Q49" s="226"/>
      <c r="R49" s="226"/>
    </row>
    <row r="50" spans="1:18">
      <c r="A50" s="226"/>
      <c r="B50" s="226"/>
      <c r="C50" s="226"/>
      <c r="D50" s="226"/>
      <c r="E50" s="226"/>
      <c r="F50" s="226"/>
      <c r="G50" s="226"/>
      <c r="H50" s="226"/>
      <c r="I50" s="226"/>
      <c r="J50" s="226"/>
      <c r="K50" s="226"/>
      <c r="L50" s="226"/>
      <c r="M50" s="226"/>
      <c r="N50" s="226"/>
      <c r="O50" s="226"/>
      <c r="P50" s="226"/>
      <c r="Q50" s="226"/>
      <c r="R50" s="226"/>
    </row>
    <row r="51" spans="1:18">
      <c r="A51" s="226"/>
      <c r="B51" s="226"/>
      <c r="C51" s="226"/>
      <c r="D51" s="226"/>
      <c r="E51" s="226"/>
      <c r="F51" s="226"/>
      <c r="G51" s="226"/>
      <c r="H51" s="226"/>
      <c r="I51" s="226"/>
      <c r="J51" s="226"/>
      <c r="K51" s="226"/>
      <c r="L51" s="226"/>
      <c r="M51" s="226"/>
      <c r="N51" s="226"/>
      <c r="O51" s="226"/>
      <c r="P51" s="226"/>
      <c r="Q51" s="226"/>
      <c r="R51" s="226"/>
    </row>
    <row r="52" spans="1:18">
      <c r="A52" s="226"/>
      <c r="B52" s="226"/>
      <c r="C52" s="226"/>
      <c r="D52" s="226"/>
      <c r="E52" s="226"/>
      <c r="F52" s="226"/>
      <c r="G52" s="226"/>
      <c r="H52" s="226"/>
      <c r="I52" s="226"/>
      <c r="J52" s="226"/>
      <c r="K52" s="226"/>
      <c r="L52" s="226"/>
      <c r="M52" s="226"/>
      <c r="N52" s="226"/>
      <c r="O52" s="226"/>
      <c r="P52" s="226"/>
      <c r="Q52" s="226"/>
      <c r="R52" s="226"/>
    </row>
    <row r="53" spans="1:18">
      <c r="A53" s="226"/>
      <c r="B53" s="226"/>
      <c r="C53" s="226"/>
      <c r="D53" s="226"/>
      <c r="E53" s="226"/>
      <c r="F53" s="226"/>
      <c r="G53" s="226"/>
      <c r="H53" s="226"/>
      <c r="I53" s="226"/>
      <c r="J53" s="226"/>
      <c r="K53" s="226"/>
      <c r="L53" s="226"/>
      <c r="M53" s="226"/>
      <c r="N53" s="226"/>
      <c r="O53" s="226"/>
      <c r="P53" s="226"/>
      <c r="Q53" s="226"/>
      <c r="R53" s="226"/>
    </row>
    <row r="54" spans="1:18">
      <c r="A54" s="226"/>
      <c r="B54" s="226"/>
      <c r="C54" s="226"/>
      <c r="D54" s="226"/>
      <c r="E54" s="226"/>
      <c r="F54" s="226"/>
      <c r="G54" s="226"/>
      <c r="H54" s="226"/>
      <c r="I54" s="226"/>
      <c r="J54" s="226"/>
      <c r="K54" s="226"/>
      <c r="L54" s="226"/>
      <c r="M54" s="226"/>
      <c r="N54" s="226"/>
      <c r="O54" s="226"/>
      <c r="P54" s="226"/>
      <c r="Q54" s="226"/>
      <c r="R54" s="226"/>
    </row>
    <row r="55" spans="1:18">
      <c r="A55" s="226"/>
      <c r="B55" s="226"/>
      <c r="C55" s="226"/>
      <c r="D55" s="226"/>
      <c r="E55" s="226"/>
      <c r="F55" s="226"/>
      <c r="G55" s="226"/>
      <c r="H55" s="226"/>
      <c r="I55" s="226"/>
      <c r="J55" s="226"/>
      <c r="K55" s="226"/>
      <c r="L55" s="226"/>
      <c r="M55" s="226"/>
      <c r="N55" s="226"/>
      <c r="O55" s="226"/>
      <c r="P55" s="226"/>
      <c r="Q55" s="226"/>
      <c r="R55" s="226"/>
    </row>
    <row r="56" spans="1:18">
      <c r="A56" s="226"/>
      <c r="B56" s="226"/>
      <c r="C56" s="226"/>
      <c r="D56" s="226"/>
      <c r="E56" s="226"/>
      <c r="F56" s="226"/>
      <c r="G56" s="226"/>
      <c r="H56" s="226"/>
      <c r="I56" s="226"/>
      <c r="J56" s="226"/>
      <c r="K56" s="226"/>
      <c r="L56" s="226"/>
      <c r="M56" s="226"/>
      <c r="N56" s="226"/>
      <c r="O56" s="226"/>
      <c r="P56" s="226"/>
      <c r="Q56" s="226"/>
      <c r="R56" s="226"/>
    </row>
    <row r="57" spans="1:18">
      <c r="A57" s="226"/>
      <c r="B57" s="226"/>
      <c r="C57" s="226"/>
      <c r="D57" s="226"/>
      <c r="E57" s="226"/>
      <c r="F57" s="226"/>
      <c r="G57" s="226"/>
      <c r="H57" s="226"/>
      <c r="I57" s="226"/>
      <c r="J57" s="226"/>
      <c r="K57" s="226"/>
      <c r="L57" s="226"/>
      <c r="M57" s="226"/>
      <c r="N57" s="226"/>
      <c r="O57" s="226"/>
      <c r="P57" s="226"/>
      <c r="Q57" s="226"/>
      <c r="R57" s="226"/>
    </row>
    <row r="58" spans="1:18">
      <c r="A58" s="226"/>
      <c r="B58" s="226"/>
      <c r="C58" s="226"/>
      <c r="D58" s="226"/>
      <c r="E58" s="226"/>
      <c r="F58" s="226"/>
      <c r="G58" s="226"/>
      <c r="H58" s="226"/>
      <c r="I58" s="226"/>
      <c r="J58" s="226"/>
      <c r="K58" s="226"/>
      <c r="L58" s="226"/>
      <c r="M58" s="226"/>
      <c r="N58" s="226"/>
      <c r="O58" s="226"/>
      <c r="P58" s="226"/>
      <c r="Q58" s="226"/>
      <c r="R58" s="226"/>
    </row>
    <row r="59" spans="1:18">
      <c r="A59" s="226"/>
      <c r="B59" s="226"/>
      <c r="C59" s="226"/>
      <c r="D59" s="226"/>
      <c r="E59" s="226"/>
      <c r="F59" s="226"/>
      <c r="G59" s="226"/>
      <c r="H59" s="226"/>
      <c r="I59" s="226"/>
      <c r="J59" s="226"/>
      <c r="K59" s="226"/>
      <c r="L59" s="226"/>
      <c r="M59" s="226"/>
      <c r="N59" s="226"/>
      <c r="O59" s="226"/>
      <c r="P59" s="226"/>
      <c r="Q59" s="226"/>
      <c r="R59" s="226"/>
    </row>
    <row r="60" spans="1:18">
      <c r="A60" s="226"/>
      <c r="B60" s="226"/>
      <c r="C60" s="226"/>
      <c r="D60" s="226"/>
      <c r="E60" s="226"/>
      <c r="F60" s="226"/>
      <c r="G60" s="226"/>
      <c r="H60" s="226"/>
      <c r="I60" s="226"/>
      <c r="J60" s="226"/>
      <c r="K60" s="226"/>
      <c r="L60" s="226"/>
      <c r="M60" s="226"/>
      <c r="N60" s="226"/>
      <c r="O60" s="226"/>
      <c r="P60" s="226"/>
      <c r="Q60" s="226"/>
      <c r="R60" s="226"/>
    </row>
    <row r="61" spans="1:18">
      <c r="A61" s="226"/>
      <c r="B61" s="226"/>
      <c r="C61" s="226"/>
      <c r="D61" s="226"/>
      <c r="E61" s="226"/>
      <c r="F61" s="226"/>
      <c r="G61" s="226"/>
      <c r="H61" s="226"/>
      <c r="I61" s="226"/>
      <c r="J61" s="226"/>
      <c r="K61" s="226"/>
      <c r="L61" s="226"/>
      <c r="M61" s="226"/>
      <c r="N61" s="226"/>
      <c r="O61" s="226"/>
      <c r="P61" s="226"/>
      <c r="Q61" s="226"/>
      <c r="R61" s="226"/>
    </row>
  </sheetData>
  <sheetProtection algorithmName="SHA-512" hashValue="qhgc8GjOqbKdDMAG0MoT6fdtlK/6CS7iRW36+oYxM6qtsWG9sOJXWtAr0hYG91/X9MNST36ZSJ3H7h/u4RqSCA==" saltValue="MV6nIZuFXPTC0ExMRdvoBA==" spinCount="100000" sheet="1" objects="1" scenarios="1" selectLockedCells="1" selectUnlockedCells="1"/>
  <mergeCells count="1">
    <mergeCell ref="I16:K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RM CHAT - Unegamelleautop.fr</vt:lpstr>
      <vt:lpstr>CTRL</vt:lpstr>
      <vt:lpstr>CMV</vt:lpstr>
      <vt:lpstr>LGS</vt:lpstr>
      <vt:lpstr>HLS</vt:lpstr>
      <vt:lpstr>FCS</vt:lpstr>
      <vt:lpstr>VDS</vt:lpstr>
      <vt:lpstr>OPT1</vt:lpstr>
      <vt:lpstr>OPT2</vt:lpstr>
    </vt:vector>
  </TitlesOfParts>
  <LinksUpToDate>false</LinksUpToDate>
  <SharedDoc>false</SharedDoc>
  <HyperlinkBase>https://www.facebook.com/groups/CroquettesCommentChoisir/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Damien Dehon</cp:lastModifiedBy>
  <cp:lastPrinted>2016-12-27T10:50:24Z</cp:lastPrinted>
  <dcterms:created xsi:type="dcterms:W3CDTF">2016-08-18T09:44:54Z</dcterms:created>
  <dcterms:modified xsi:type="dcterms:W3CDTF">2025-03-25T14:54:59Z</dcterms:modified>
</cp:coreProperties>
</file>