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ThisWorkbook"/>
  <mc:AlternateContent xmlns:mc="http://schemas.openxmlformats.org/markup-compatibility/2006">
    <mc:Choice Requires="x15">
      <x15ac:absPath xmlns:x15ac="http://schemas.microsoft.com/office/spreadsheetml/2010/11/ac" url="G:\Mon Drive\Une gamelle au top\Calculateurs\__ LIVRAISON __\FTP\"/>
    </mc:Choice>
  </mc:AlternateContent>
  <xr:revisionPtr revIDLastSave="0" documentId="8_{F2AAC0D9-3300-4836-BFA3-AF1F856A7D72}" xr6:coauthVersionLast="47" xr6:coauthVersionMax="47" xr10:uidLastSave="{00000000-0000-0000-0000-000000000000}"/>
  <bookViews>
    <workbookView xWindow="-118" yWindow="-14256" windowWidth="25370" windowHeight="13654" tabRatio="598" xr2:uid="{04724023-DD34-4BF8-B098-E95CAB0618DF}"/>
  </bookViews>
  <sheets>
    <sheet name="CHAT - Unegamelleautop.fr"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10" i="3" l="1"/>
  <c r="AI109" i="3"/>
  <c r="AI108" i="3"/>
  <c r="AI107" i="3"/>
  <c r="AI106" i="3"/>
  <c r="AI105" i="3"/>
  <c r="AA33" i="3"/>
  <c r="E21" i="3"/>
  <c r="AJ16" i="3"/>
  <c r="E23" i="3"/>
  <c r="Y100" i="3"/>
  <c r="Z100" i="3"/>
  <c r="E20" i="3"/>
  <c r="L59" i="3"/>
  <c r="Z4" i="3"/>
  <c r="Z3" i="3"/>
  <c r="Z68" i="3"/>
  <c r="Z61" i="3"/>
  <c r="X66" i="3"/>
  <c r="Z63" i="3"/>
  <c r="Z62" i="3"/>
  <c r="Z23" i="3"/>
  <c r="Z5" i="3"/>
  <c r="AG1" i="3"/>
  <c r="AF1" i="3"/>
  <c r="AL47" i="3"/>
  <c r="AK47" i="3"/>
  <c r="X106" i="3"/>
  <c r="X107" i="3"/>
  <c r="X108" i="3"/>
  <c r="X109" i="3"/>
  <c r="X110" i="3"/>
  <c r="X105" i="3"/>
  <c r="X93" i="3"/>
  <c r="AE101" i="3"/>
  <c r="AE100" i="3"/>
  <c r="AD101" i="3"/>
  <c r="AD100" i="3"/>
  <c r="X98" i="3"/>
  <c r="X97" i="3"/>
  <c r="X96" i="3"/>
  <c r="X95" i="3"/>
  <c r="X94" i="3"/>
  <c r="AC48" i="3"/>
  <c r="AC52" i="3"/>
  <c r="AC51" i="3"/>
  <c r="AC50" i="3"/>
  <c r="AC49" i="3"/>
  <c r="AC56" i="3"/>
  <c r="Y75" i="3"/>
  <c r="Z74" i="3"/>
  <c r="AC41" i="3"/>
  <c r="AC47" i="3"/>
  <c r="AC46" i="3"/>
  <c r="AC44" i="3"/>
  <c r="AC42" i="3"/>
  <c r="AC40" i="3"/>
  <c r="E19" i="3"/>
  <c r="Z52" i="3"/>
  <c r="Z53" i="3"/>
  <c r="L24" i="3"/>
  <c r="Z69" i="3"/>
  <c r="AG54" i="3"/>
  <c r="Z47" i="3"/>
  <c r="Z46" i="3"/>
  <c r="Z45" i="3"/>
  <c r="Z44" i="3"/>
  <c r="Z43" i="3"/>
  <c r="Z48" i="3"/>
  <c r="AG7" i="3"/>
  <c r="AC12" i="3"/>
  <c r="AD12" i="3"/>
  <c r="AC65" i="3"/>
  <c r="AC66" i="3"/>
  <c r="X68" i="3"/>
  <c r="AC64" i="3"/>
  <c r="AH82" i="3"/>
  <c r="AA74" i="3"/>
  <c r="AE74" i="3"/>
  <c r="AE75" i="3"/>
  <c r="AB74" i="3"/>
  <c r="AC74" i="3"/>
  <c r="AD74" i="3"/>
  <c r="AF74" i="3"/>
  <c r="AF75" i="3"/>
  <c r="X40" i="3"/>
  <c r="AG18" i="3"/>
  <c r="X49" i="3"/>
  <c r="AG74" i="3"/>
  <c r="AG75" i="3"/>
  <c r="X41" i="3"/>
  <c r="AG19" i="3"/>
  <c r="X50" i="3"/>
  <c r="AF47" i="3"/>
  <c r="AG47" i="3"/>
  <c r="AH47" i="3"/>
  <c r="AI47" i="3"/>
  <c r="AJ47" i="3"/>
  <c r="AD65" i="3"/>
  <c r="Z40" i="3"/>
  <c r="Z41" i="3"/>
  <c r="Z42" i="3"/>
  <c r="Z49" i="3"/>
  <c r="Z51" i="3"/>
  <c r="Z50" i="3"/>
  <c r="E25" i="3"/>
  <c r="E22" i="3"/>
  <c r="E24" i="3"/>
  <c r="X75" i="3"/>
  <c r="Z10" i="3"/>
  <c r="Z9" i="3"/>
  <c r="F19" i="3"/>
  <c r="F18" i="3"/>
  <c r="F14" i="3"/>
  <c r="F12" i="3"/>
  <c r="F11" i="3"/>
  <c r="F10" i="3"/>
  <c r="F9" i="3"/>
  <c r="Z65" i="3"/>
  <c r="Z66" i="3"/>
  <c r="AH74" i="3"/>
  <c r="AG56" i="3"/>
  <c r="AI57" i="3"/>
  <c r="AG57" i="3"/>
  <c r="AG58" i="3"/>
  <c r="AG59" i="3"/>
  <c r="AC14" i="3"/>
  <c r="L14" i="3"/>
  <c r="L18" i="3"/>
  <c r="L12" i="3"/>
  <c r="L19" i="3"/>
  <c r="Z12" i="3"/>
  <c r="AG3" i="3"/>
  <c r="L9" i="3"/>
  <c r="L10" i="3"/>
  <c r="L11" i="3"/>
  <c r="Z58" i="3"/>
  <c r="AB75" i="3"/>
  <c r="Z75" i="3"/>
  <c r="AC75" i="3"/>
  <c r="AA75" i="3"/>
  <c r="AH75" i="3"/>
  <c r="AD75" i="3"/>
  <c r="K15" i="3"/>
  <c r="AC62" i="3"/>
  <c r="AG4" i="3"/>
  <c r="AG5" i="3"/>
  <c r="AG2" i="3"/>
  <c r="K16" i="3"/>
  <c r="Z55" i="3"/>
  <c r="AC45" i="3"/>
  <c r="AC43" i="3"/>
  <c r="AC55" i="3"/>
  <c r="Z57" i="3"/>
  <c r="AC11" i="3"/>
  <c r="J20" i="3"/>
  <c r="I16" i="3"/>
  <c r="Z54" i="3"/>
  <c r="I15" i="3"/>
  <c r="AC61" i="3"/>
  <c r="J18" i="3"/>
  <c r="J9" i="3"/>
  <c r="AF7" i="3"/>
  <c r="J11" i="3"/>
  <c r="J16" i="3"/>
  <c r="J12" i="3"/>
  <c r="J10" i="3"/>
  <c r="Z11" i="3"/>
  <c r="I14" i="3"/>
  <c r="AK3" i="3"/>
  <c r="J14" i="3"/>
  <c r="J19" i="3"/>
  <c r="Z59" i="3"/>
  <c r="K42" i="3"/>
  <c r="F16" i="3"/>
  <c r="F25" i="3"/>
  <c r="K14" i="3"/>
  <c r="AK9" i="3"/>
  <c r="L20" i="3"/>
  <c r="L16" i="3"/>
  <c r="I20" i="3"/>
  <c r="AC57" i="3"/>
  <c r="AC58" i="3"/>
  <c r="K20" i="3"/>
  <c r="AK44" i="3"/>
  <c r="AL49" i="3" s="1"/>
  <c r="AJ42" i="3"/>
  <c r="AA35" i="3"/>
  <c r="AG42" i="3"/>
  <c r="AG41" i="3"/>
  <c r="AG39" i="3"/>
  <c r="AJ38" i="3"/>
  <c r="AJ43" i="3"/>
  <c r="AG38" i="3"/>
  <c r="B30" i="3"/>
  <c r="AG44" i="3"/>
  <c r="B28" i="3"/>
  <c r="AG43" i="3"/>
  <c r="AA32" i="3"/>
  <c r="AB33" i="3"/>
  <c r="Z85" i="3"/>
  <c r="B29" i="3"/>
  <c r="Z56" i="3"/>
  <c r="AA22" i="3"/>
  <c r="AG40" i="3"/>
  <c r="AB35" i="3"/>
  <c r="AJ41" i="3"/>
  <c r="Z83" i="3"/>
  <c r="F21" i="3"/>
  <c r="AJ39" i="3"/>
  <c r="AA34" i="3"/>
  <c r="AJ40" i="3"/>
  <c r="AJ44" i="3"/>
  <c r="C29" i="3"/>
  <c r="AK4" i="3"/>
  <c r="AK5" i="3"/>
  <c r="AK6" i="3"/>
  <c r="AF3" i="3"/>
  <c r="AF4" i="3"/>
  <c r="AF5" i="3"/>
  <c r="AF2" i="3"/>
  <c r="K43" i="3"/>
  <c r="F15" i="3"/>
  <c r="K44" i="3"/>
  <c r="AC13" i="3"/>
  <c r="AD11" i="3"/>
  <c r="AK10" i="3"/>
  <c r="AK11" i="3"/>
  <c r="AK12" i="3"/>
  <c r="AL44" i="3"/>
  <c r="AI44" i="3"/>
  <c r="AH44" i="3"/>
  <c r="AA23" i="3"/>
  <c r="AA21" i="3"/>
  <c r="AC59" i="3"/>
  <c r="F20" i="3"/>
  <c r="AG55" i="3"/>
  <c r="AG60" i="3"/>
  <c r="Z21" i="3"/>
  <c r="J34" i="3"/>
  <c r="AL39" i="3"/>
  <c r="AH39" i="3"/>
  <c r="AK39" i="3"/>
  <c r="AI39" i="3"/>
  <c r="AH38" i="3"/>
  <c r="AL38" i="3"/>
  <c r="AI38" i="3"/>
  <c r="AK38" i="3"/>
  <c r="AI40" i="3"/>
  <c r="AL40" i="3"/>
  <c r="AH40" i="3"/>
  <c r="AK40" i="3"/>
  <c r="AG12" i="3"/>
  <c r="J29" i="3"/>
  <c r="AF12" i="3"/>
  <c r="AG15" i="3"/>
  <c r="AF13" i="3"/>
  <c r="AG16" i="3"/>
  <c r="Z7" i="3"/>
  <c r="Z17" i="3"/>
  <c r="Y77" i="3"/>
  <c r="AG13" i="3"/>
  <c r="Z28" i="3"/>
  <c r="F31" i="3"/>
  <c r="AG22" i="3"/>
  <c r="AG31" i="3"/>
  <c r="J30" i="3"/>
  <c r="AA7" i="3"/>
  <c r="AC67" i="3"/>
  <c r="AG21" i="3"/>
  <c r="AG32" i="3"/>
  <c r="F34" i="3"/>
  <c r="AG34" i="3"/>
  <c r="F30" i="3"/>
  <c r="F29" i="3"/>
  <c r="AB28" i="3"/>
  <c r="Z6" i="3"/>
  <c r="Z16" i="3"/>
  <c r="Y76" i="3"/>
  <c r="AK43" i="3"/>
  <c r="AC28" i="3"/>
  <c r="AF28" i="3"/>
  <c r="J31" i="3"/>
  <c r="AL43" i="3"/>
  <c r="AB79" i="3"/>
  <c r="G36" i="3"/>
  <c r="L38" i="3"/>
  <c r="AG33" i="3"/>
  <c r="L36" i="3"/>
  <c r="Z29" i="3"/>
  <c r="AA79" i="3"/>
  <c r="F36" i="3"/>
  <c r="AD80" i="3"/>
  <c r="AA6" i="3"/>
  <c r="AD79" i="3"/>
  <c r="I36" i="3"/>
  <c r="AH79" i="3"/>
  <c r="AB36" i="3"/>
  <c r="L34" i="3"/>
  <c r="AA5" i="3"/>
  <c r="K38" i="3"/>
  <c r="Z67" i="3"/>
  <c r="L37" i="3"/>
  <c r="AH43" i="3"/>
  <c r="AI43" i="3"/>
  <c r="I37" i="3"/>
  <c r="AH42" i="3"/>
  <c r="AG80" i="3"/>
  <c r="AA81" i="3"/>
  <c r="AB80" i="3"/>
  <c r="AF46" i="3"/>
  <c r="F37" i="3"/>
  <c r="I34" i="3"/>
  <c r="K34" i="3"/>
  <c r="AL42" i="3"/>
  <c r="AI42" i="3"/>
  <c r="AF84" i="3"/>
  <c r="Z13" i="3"/>
  <c r="AK46" i="3"/>
  <c r="AK42" i="3"/>
  <c r="AE84" i="3"/>
  <c r="H38" i="3"/>
  <c r="AC80" i="3"/>
  <c r="AC84" i="3"/>
  <c r="J38" i="3"/>
  <c r="Y81" i="3"/>
  <c r="AG84" i="3"/>
  <c r="Z14" i="3"/>
  <c r="AL46" i="3"/>
  <c r="H34" i="3"/>
  <c r="AB84" i="3"/>
  <c r="G38" i="3"/>
  <c r="AA84" i="3"/>
  <c r="AF79" i="3"/>
  <c r="K36" i="3"/>
  <c r="AJ46" i="3"/>
  <c r="AE79" i="3"/>
  <c r="H36" i="3"/>
  <c r="AE80" i="3"/>
  <c r="AC79" i="3"/>
  <c r="J36" i="3"/>
  <c r="AD84" i="3"/>
  <c r="I38" i="3"/>
  <c r="AG79" i="3"/>
  <c r="AF80" i="3"/>
  <c r="K37" i="3"/>
  <c r="AI46" i="3"/>
  <c r="AL41" i="3"/>
  <c r="AI41" i="3"/>
  <c r="AH41" i="3"/>
  <c r="AK41" i="3"/>
  <c r="AC16" i="3"/>
  <c r="AH7" i="3"/>
  <c r="F38" i="3"/>
  <c r="G37" i="3"/>
  <c r="AG46" i="3"/>
  <c r="J37" i="3"/>
  <c r="AH46" i="3"/>
  <c r="H37" i="3"/>
  <c r="AI35" i="3"/>
  <c r="F32" i="3"/>
  <c r="J32" i="3"/>
  <c r="K45" i="3"/>
  <c r="H45" i="3"/>
  <c r="J45" i="3"/>
  <c r="AG77" i="3"/>
  <c r="AB77" i="3"/>
  <c r="AF77" i="3"/>
  <c r="AE77" i="3"/>
  <c r="AD77" i="3"/>
  <c r="AA77" i="3"/>
  <c r="AA78" i="3"/>
  <c r="AH77" i="3"/>
  <c r="AC77" i="3"/>
  <c r="Z77" i="3"/>
  <c r="Z78" i="3"/>
  <c r="AB76" i="3"/>
  <c r="AD76" i="3"/>
  <c r="AG76" i="3"/>
  <c r="Z76" i="3"/>
  <c r="AH76" i="3"/>
  <c r="AE76" i="3"/>
  <c r="AC76" i="3"/>
  <c r="Y78" i="3"/>
  <c r="AA76" i="3"/>
  <c r="AF76" i="3"/>
  <c r="AH45" i="3"/>
  <c r="AB78" i="3"/>
  <c r="AD78" i="3"/>
  <c r="AC78" i="3"/>
  <c r="AE78" i="3"/>
  <c r="AH78" i="3"/>
  <c r="AA37" i="3"/>
  <c r="AA36" i="3"/>
  <c r="AG23" i="3"/>
  <c r="AG24" i="3"/>
  <c r="AF78" i="3"/>
  <c r="AG78" i="3"/>
  <c r="AG81" i="3"/>
  <c r="AB37" i="3"/>
  <c r="AL48" i="3"/>
  <c r="AG67" i="3"/>
  <c r="F33" i="3"/>
  <c r="Y80" i="3"/>
  <c r="AA80" i="3"/>
  <c r="AI45" i="3" l="1"/>
  <c r="AG45" i="3"/>
  <c r="AK45" i="3"/>
  <c r="AH35" i="3"/>
  <c r="AJ35" i="3" s="1"/>
  <c r="AL35" i="3" s="1"/>
  <c r="AL45" i="3"/>
  <c r="AJ45" i="3"/>
</calcChain>
</file>

<file path=xl/sharedStrings.xml><?xml version="1.0" encoding="utf-8"?>
<sst xmlns="http://schemas.openxmlformats.org/spreadsheetml/2006/main" count="534" uniqueCount="431">
  <si>
    <t>K1 - Racial</t>
  </si>
  <si>
    <t>K2 - Comportement</t>
  </si>
  <si>
    <t>Entier</t>
  </si>
  <si>
    <t>Castré</t>
  </si>
  <si>
    <t>Stérilisée</t>
  </si>
  <si>
    <t>K3 - Physiologie</t>
  </si>
  <si>
    <t>Adulte</t>
  </si>
  <si>
    <t>K4 - Sanitaire</t>
  </si>
  <si>
    <t>Kc - Climatique</t>
  </si>
  <si>
    <t>Validation entrée choix</t>
  </si>
  <si>
    <t xml:space="preserve">SCORE BEE  </t>
  </si>
  <si>
    <t>K3' - Hormonal</t>
  </si>
  <si>
    <t>SCORING AFFICHAGE DES RESULTATS</t>
  </si>
  <si>
    <t>Bleu Russe</t>
  </si>
  <si>
    <t>British Shorthair</t>
  </si>
  <si>
    <t>Burmese</t>
  </si>
  <si>
    <t>Cornish Rex</t>
  </si>
  <si>
    <t>Devon Rex</t>
  </si>
  <si>
    <t>Havana Brown</t>
  </si>
  <si>
    <t>Javanais</t>
  </si>
  <si>
    <t>Manx</t>
  </si>
  <si>
    <t>Ragdoll</t>
  </si>
  <si>
    <t>Somali</t>
  </si>
  <si>
    <t>Turc de Van</t>
  </si>
  <si>
    <t xml:space="preserve">Vraiment trop gros (obèse) </t>
  </si>
  <si>
    <t xml:space="preserve">Un peu trop gros  </t>
  </si>
  <si>
    <t xml:space="preserve">Très bien en poids </t>
  </si>
  <si>
    <t xml:space="preserve">Un peu trop maigre </t>
  </si>
  <si>
    <t xml:space="preserve">Vraiment trop maigre (cachectique) </t>
  </si>
  <si>
    <t xml:space="preserve">A l'intérieur </t>
  </si>
  <si>
    <t xml:space="preserve">A l'extérieur l'été </t>
  </si>
  <si>
    <t>A l'extérieur l'hiver</t>
  </si>
  <si>
    <t xml:space="preserve">Normal </t>
  </si>
  <si>
    <t>K3' - Emotion</t>
  </si>
  <si>
    <t xml:space="preserve">Chaton de 2 à 4 mois </t>
  </si>
  <si>
    <t xml:space="preserve">Chaton de 4 à 6 mois  </t>
  </si>
  <si>
    <t xml:space="preserve">Chaton de 6 à 8 mois </t>
  </si>
  <si>
    <t xml:space="preserve">Jeune adulte de 8 à 12 mois </t>
  </si>
  <si>
    <t>BE "brut"</t>
  </si>
  <si>
    <t>Facteur K</t>
  </si>
  <si>
    <t>OBJECTIF BE  / BEE</t>
  </si>
  <si>
    <t>BE</t>
  </si>
  <si>
    <t>EM patée</t>
  </si>
  <si>
    <t>Scoring final</t>
  </si>
  <si>
    <t>Scoring à 3 si OK</t>
  </si>
  <si>
    <t>Cas de figure</t>
  </si>
  <si>
    <t>100% croquettes (1)</t>
  </si>
  <si>
    <t>100% patée (2)</t>
  </si>
  <si>
    <t>mix (3)</t>
  </si>
  <si>
    <t>Protéines</t>
  </si>
  <si>
    <t>Lipides</t>
  </si>
  <si>
    <t>Fibres</t>
  </si>
  <si>
    <t>Cendres</t>
  </si>
  <si>
    <t>Humidité</t>
  </si>
  <si>
    <t>SCORE CROQ</t>
  </si>
  <si>
    <t>Ca</t>
  </si>
  <si>
    <t>P</t>
  </si>
  <si>
    <t>SCORE CA/P CROQ</t>
  </si>
  <si>
    <t>SCORE PATEE</t>
  </si>
  <si>
    <t>SCORE CA/P PATEE</t>
  </si>
  <si>
    <t>% croquettes</t>
  </si>
  <si>
    <t>SCORE % CROQ</t>
  </si>
  <si>
    <t>EM croquette</t>
  </si>
  <si>
    <t>des CROQUETTES</t>
  </si>
  <si>
    <t>de la PÂTEE</t>
  </si>
  <si>
    <t>% indiqués sur le paquet</t>
  </si>
  <si>
    <t>% en matière sèche</t>
  </si>
  <si>
    <t>PATEE</t>
  </si>
  <si>
    <t>CROQUETTES</t>
  </si>
  <si>
    <t>Formules</t>
  </si>
  <si>
    <t>Score CROQUETTES</t>
  </si>
  <si>
    <t>Score PATEE</t>
  </si>
  <si>
    <t>SCORE TOTAL CA/P</t>
  </si>
  <si>
    <t>SCORE TOTAL INPUT</t>
  </si>
  <si>
    <t>Score CA/P CROQ</t>
  </si>
  <si>
    <t>Score CA/P PATEE</t>
  </si>
  <si>
    <t>GESTION DE L'EAU</t>
  </si>
  <si>
    <t>Eau apportée par croquettes</t>
  </si>
  <si>
    <t>Eau apportée par pâtée</t>
  </si>
  <si>
    <t>Besoin H2O</t>
  </si>
  <si>
    <t>Merci de remplir les petites cases grises</t>
  </si>
  <si>
    <t>Calme</t>
  </si>
  <si>
    <t>Croisé(e)  ou Autre Race</t>
  </si>
  <si>
    <t xml:space="preserve">Un peu stressé </t>
  </si>
  <si>
    <t>Très stressé</t>
  </si>
  <si>
    <t>Très calme</t>
  </si>
  <si>
    <t>Fibres &gt; 8%</t>
  </si>
  <si>
    <t>ENA CROQ</t>
  </si>
  <si>
    <t>ENA PATEE</t>
  </si>
  <si>
    <t>Gestion des erreurs</t>
  </si>
  <si>
    <t>CROQ</t>
  </si>
  <si>
    <t>En fonction des cas :</t>
  </si>
  <si>
    <t>Détermination CA et P</t>
  </si>
  <si>
    <t>Flag en fonction des cas :</t>
  </si>
  <si>
    <t>Détermination CA et P finale</t>
  </si>
  <si>
    <t>Scoring affichage</t>
  </si>
  <si>
    <t>DONNEES APPARTENANT A</t>
  </si>
  <si>
    <t>UTILISATION</t>
  </si>
  <si>
    <t>DIFFUSION</t>
  </si>
  <si>
    <t>COPIE</t>
  </si>
  <si>
    <t xml:space="preserve">MARGE </t>
  </si>
  <si>
    <t>ENA CROQ + MARGE</t>
  </si>
  <si>
    <t>ENA PATEE + MARGE</t>
  </si>
  <si>
    <t>g/kg MIN</t>
  </si>
  <si>
    <t>g/kg DANGER</t>
  </si>
  <si>
    <t>g/kg MINIMUM</t>
  </si>
  <si>
    <t>g/kg MIN. DANGER</t>
  </si>
  <si>
    <t>g/kg CALCULE</t>
  </si>
  <si>
    <t>NIVEAU ALERTE</t>
  </si>
  <si>
    <t>Message si ALERTE 1</t>
  </si>
  <si>
    <t>Message si ALERTE 2</t>
  </si>
  <si>
    <r>
      <t xml:space="preserve"> Humidité (si inconnue : </t>
    </r>
    <r>
      <rPr>
        <sz val="12"/>
        <color indexed="60"/>
        <rFont val="Gill Sans MT"/>
        <family val="2"/>
      </rPr>
      <t>croquettes = 10</t>
    </r>
    <r>
      <rPr>
        <sz val="12"/>
        <color indexed="53"/>
        <rFont val="Gill Sans MT"/>
        <family val="2"/>
      </rPr>
      <t xml:space="preserve"> </t>
    </r>
    <r>
      <rPr>
        <sz val="12"/>
        <rFont val="Gill Sans MT"/>
        <family val="2"/>
      </rPr>
      <t>et</t>
    </r>
    <r>
      <rPr>
        <sz val="12"/>
        <color indexed="50"/>
        <rFont val="Gill Sans MT"/>
        <family val="2"/>
      </rPr>
      <t xml:space="preserve"> </t>
    </r>
    <r>
      <rPr>
        <sz val="12"/>
        <color indexed="19"/>
        <rFont val="Gill Sans MT"/>
        <family val="2"/>
      </rPr>
      <t>pâtée = 77</t>
    </r>
    <r>
      <rPr>
        <sz val="12"/>
        <rFont val="Gill Sans MT"/>
        <family val="2"/>
      </rPr>
      <t>)</t>
    </r>
  </si>
  <si>
    <t>Son poids IDEAL</t>
  </si>
  <si>
    <t>en kg</t>
  </si>
  <si>
    <t>Sa race</t>
  </si>
  <si>
    <t>Son activité</t>
  </si>
  <si>
    <t>Son stade de vie</t>
  </si>
  <si>
    <t>Est-il stérilisé</t>
  </si>
  <si>
    <t>Son état corporel</t>
  </si>
  <si>
    <t>Son lieu de vie</t>
  </si>
  <si>
    <t>Son tempérament</t>
  </si>
  <si>
    <t>Alerte sur MS</t>
  </si>
  <si>
    <t>Seuil bas</t>
  </si>
  <si>
    <t>Seuil haut</t>
  </si>
  <si>
    <t>Niv 1 bas</t>
  </si>
  <si>
    <t>Niv 2 bas</t>
  </si>
  <si>
    <t>Niv 1 haut</t>
  </si>
  <si>
    <t>Niv 2 haut</t>
  </si>
  <si>
    <t>Glucides</t>
  </si>
  <si>
    <t>Calcium</t>
  </si>
  <si>
    <t>Phosphore</t>
  </si>
  <si>
    <t>Ca/P</t>
  </si>
  <si>
    <t>AUTO</t>
  </si>
  <si>
    <t>FEDIAF Nutritional Guidelines 2018</t>
  </si>
  <si>
    <t>Ca/P antibug à partir de v2.0</t>
  </si>
  <si>
    <t>Croquettes</t>
  </si>
  <si>
    <t>Pâtée</t>
  </si>
  <si>
    <t>&lt;&gt;''''</t>
  </si>
  <si>
    <t xml:space="preserve">à la </t>
  </si>
  <si>
    <t>place</t>
  </si>
  <si>
    <t>de &gt;0</t>
  </si>
  <si>
    <t>depuis v2.0</t>
  </si>
  <si>
    <t>Cas de figure (flag)</t>
  </si>
  <si>
    <t>Si cas #1</t>
  </si>
  <si>
    <t>Si cas #2</t>
  </si>
  <si>
    <t>Cas 3 (flag)</t>
  </si>
  <si>
    <t>Si cas #3.1 (croq missing)</t>
  </si>
  <si>
    <t>Si cas #3.2 (patee missing)</t>
  </si>
  <si>
    <t>Si cas #3.3 (croq + patee)</t>
  </si>
  <si>
    <t>TEXTE FINAL</t>
  </si>
  <si>
    <t>Gestion des messages v2.0</t>
  </si>
  <si>
    <t>Flag prix croquette</t>
  </si>
  <si>
    <t>ENA croquette</t>
  </si>
  <si>
    <t>Flag prix patée</t>
  </si>
  <si>
    <t>ENA pâtée</t>
  </si>
  <si>
    <t>1. Determination du besoin énergétique</t>
  </si>
  <si>
    <t>2. Calcul de l’apport en énergie de la ration</t>
  </si>
  <si>
    <t>3. Calcul de la ration journalière à donner à Félix</t>
  </si>
  <si>
    <t>http://www.fediaf.org</t>
  </si>
  <si>
    <t>https://www.facco.fr</t>
  </si>
  <si>
    <t>4. Estimation de mon budget mensuel</t>
  </si>
  <si>
    <t>Gestion de la partie budget</t>
  </si>
  <si>
    <t>Budget croquettes</t>
  </si>
  <si>
    <t>Budget pâtée</t>
  </si>
  <si>
    <t>Budget TOTAL</t>
  </si>
  <si>
    <t>v2.1</t>
  </si>
  <si>
    <t>Flag prix croquettes</t>
  </si>
  <si>
    <t>RPC TOTAL</t>
  </si>
  <si>
    <t>Atwater</t>
  </si>
  <si>
    <t>Atwater modifié</t>
  </si>
  <si>
    <t>ENA Croquettes</t>
  </si>
  <si>
    <t>ENA Pâtée</t>
  </si>
  <si>
    <r>
      <t>Prix en</t>
    </r>
    <r>
      <rPr>
        <b/>
        <sz val="12"/>
        <color indexed="8"/>
        <rFont val="Gill Sans MT"/>
        <family val="2"/>
      </rPr>
      <t xml:space="preserve"> Euro / kg </t>
    </r>
    <r>
      <rPr>
        <sz val="12"/>
        <color indexed="8"/>
        <rFont val="Gill Sans MT"/>
        <family val="2"/>
      </rPr>
      <t>de ma viande</t>
    </r>
  </si>
  <si>
    <t>v3.0</t>
  </si>
  <si>
    <t>Flag prix viande</t>
  </si>
  <si>
    <t>RPC final</t>
  </si>
  <si>
    <t>Position</t>
  </si>
  <si>
    <t>VIANDES - DONNEES</t>
  </si>
  <si>
    <t>Qtt</t>
  </si>
  <si>
    <t>Kcal</t>
  </si>
  <si>
    <t>Protéines (g)</t>
  </si>
  <si>
    <t>Lipides (g)</t>
  </si>
  <si>
    <t>Glucides (g)</t>
  </si>
  <si>
    <t>Cendres (g)</t>
  </si>
  <si>
    <t>Fibres (g)</t>
  </si>
  <si>
    <t>Ca (g)</t>
  </si>
  <si>
    <t>P (g)</t>
  </si>
  <si>
    <t>100 grammes</t>
  </si>
  <si>
    <t>Patées</t>
  </si>
  <si>
    <t>TOTAL</t>
  </si>
  <si>
    <t>% HUMIDE</t>
  </si>
  <si>
    <t>TOTAL MACRO</t>
  </si>
  <si>
    <t>% MS</t>
  </si>
  <si>
    <t>EM</t>
  </si>
  <si>
    <t>TEXTE VIANDE</t>
  </si>
  <si>
    <t>v 3.0</t>
  </si>
  <si>
    <t>Flag saisie viande</t>
  </si>
  <si>
    <t>Flag saisie qtt viande</t>
  </si>
  <si>
    <t>Budget viandes</t>
  </si>
  <si>
    <t>Flag prix viandes</t>
  </si>
  <si>
    <t>Poulet, filet, sans peau - CUIT</t>
  </si>
  <si>
    <t>LISTE DES VIANDES</t>
  </si>
  <si>
    <t>Viandes</t>
  </si>
  <si>
    <t>Kcal/100gr</t>
  </si>
  <si>
    <t>Ca (mg)</t>
  </si>
  <si>
    <t>P (mg)</t>
  </si>
  <si>
    <t>En "bon" français</t>
  </si>
  <si>
    <t>Agneau, viande - CRUE</t>
  </si>
  <si>
    <t>de viande d'agneau crue</t>
  </si>
  <si>
    <t>Agneau, viande - CUITE</t>
  </si>
  <si>
    <t>de viande d'agneau cuite</t>
  </si>
  <si>
    <t>Bœuf, faux-filet - CRU</t>
  </si>
  <si>
    <t>de faux-filet de boeuf cru</t>
  </si>
  <si>
    <t>Bœuf, faux-filet - CUIT</t>
  </si>
  <si>
    <t>de faux-filet de boeuf cuit</t>
  </si>
  <si>
    <t>Bœuf, rumsteck - CRU</t>
  </si>
  <si>
    <t>de rumsteck de bœuf cru</t>
  </si>
  <si>
    <t>Bœuf, rumsteck - CUIT</t>
  </si>
  <si>
    <t>de rumsteck de bœuf cuit</t>
  </si>
  <si>
    <t>Boeuf à bourguignon - CRU</t>
  </si>
  <si>
    <t>de boeuf à bourguignon cru</t>
  </si>
  <si>
    <t>Boeuf à bourguignon - CUIT</t>
  </si>
  <si>
    <t>de boeuf à bourguignon cuit</t>
  </si>
  <si>
    <t>Bœuf steak haché 5% MG - CRU</t>
  </si>
  <si>
    <t>de bœuf en steak haché (5% MG) cru</t>
  </si>
  <si>
    <t>Bœuf steak haché 5% MG - CUIT</t>
  </si>
  <si>
    <t>de bœuf en steak haché (5% MG) cuit</t>
  </si>
  <si>
    <t>Bœuf steak haché 15% MG - CRU</t>
  </si>
  <si>
    <t>de bœuf en steak haché (15% MG) cru</t>
  </si>
  <si>
    <t>Bœuf steak haché 15% MG - CUIT</t>
  </si>
  <si>
    <t>de bœuf en steak haché (15% MG) cuit</t>
  </si>
  <si>
    <t>Canard, viande - CRUE</t>
  </si>
  <si>
    <t>de viande de canard crue</t>
  </si>
  <si>
    <t>Canard, viande - CUITE</t>
  </si>
  <si>
    <t>de viande de canard cuite</t>
  </si>
  <si>
    <t>Cheval, faux-filet - CRU</t>
  </si>
  <si>
    <t>de faux-filet de cheval cru</t>
  </si>
  <si>
    <t>Cheval, faux-filet - CUIT</t>
  </si>
  <si>
    <t>de faux-filet de cheval cuit</t>
  </si>
  <si>
    <t>Dinde, escalope - CRUE</t>
  </si>
  <si>
    <t>d'escalope de dinde crue</t>
  </si>
  <si>
    <t>Dinde, escalope - CUITE</t>
  </si>
  <si>
    <t>d'escalope de dinde cuite</t>
  </si>
  <si>
    <t>Lapin, viande - CRUE</t>
  </si>
  <si>
    <t>de viande de lapin crue</t>
  </si>
  <si>
    <t>Lapin, viande - CUITE</t>
  </si>
  <si>
    <t>de viande de lapin cuite</t>
  </si>
  <si>
    <t>Porc, échine - CRUE</t>
  </si>
  <si>
    <t>d'échine de porc crue</t>
  </si>
  <si>
    <t>Porc, épaule - CRUE</t>
  </si>
  <si>
    <t>d'épaule de porc crue</t>
  </si>
  <si>
    <t>Porc, épaule - CUITE</t>
  </si>
  <si>
    <t>d'épaule de porc cuite</t>
  </si>
  <si>
    <t>Porc, filet, maigre - CRU</t>
  </si>
  <si>
    <t>de filet maigre de porc cru</t>
  </si>
  <si>
    <t>Porc, filet, maigre - BIEN CUIT</t>
  </si>
  <si>
    <t>de filet maigre de porc bien cuit</t>
  </si>
  <si>
    <t>Poulet, filet, sans peau - CRU</t>
  </si>
  <si>
    <t>de filet (sans peau) de poulet cru</t>
  </si>
  <si>
    <t>de filet (sans peau) de poulet cuit</t>
  </si>
  <si>
    <t>Veau, collier - CRU</t>
  </si>
  <si>
    <t>de collier de veau cru</t>
  </si>
  <si>
    <t>Veau, collier - CUIT</t>
  </si>
  <si>
    <t>de collier de veau cuit</t>
  </si>
  <si>
    <t>Veau, escalope - CRUE</t>
  </si>
  <si>
    <t>d'escalope de veau crue</t>
  </si>
  <si>
    <t>Veau, escalope - CUITE</t>
  </si>
  <si>
    <t>d'escalope de veau cuite</t>
  </si>
  <si>
    <t>Pavé de cabillaud - BIEN CUIT</t>
  </si>
  <si>
    <t>de pavé de cabillaud bien cuit</t>
  </si>
  <si>
    <t>Pavé de colin - BIEN CUIT</t>
  </si>
  <si>
    <t>de pavé de colin bien cuit</t>
  </si>
  <si>
    <t>Pavé de saumon - CRU</t>
  </si>
  <si>
    <t>de pavé de saumon cru</t>
  </si>
  <si>
    <t>Pavé de saumon - BIEN CUIT</t>
  </si>
  <si>
    <t>de pavé de saumon cuit</t>
  </si>
  <si>
    <t>Sardine (conserve) - DEJA CUITES</t>
  </si>
  <si>
    <t>de sardines entières en conserve</t>
  </si>
  <si>
    <t>Sardines fraîches - ENTIERES</t>
  </si>
  <si>
    <t>de sardines entières fraîches</t>
  </si>
  <si>
    <t>Sprat entier - CRU</t>
  </si>
  <si>
    <t>de sprats entiers et crus</t>
  </si>
  <si>
    <t>Oeuf, entier - BIEN CUIT</t>
  </si>
  <si>
    <t>d'œufs entiers bien cuit</t>
  </si>
  <si>
    <t>Oeuf, blanc - BIEN CUIT</t>
  </si>
  <si>
    <t>de blanc d'œufs bien cuit</t>
  </si>
  <si>
    <t>Poulet, cuisse, viande - CRUE</t>
  </si>
  <si>
    <t>Poulet, cuisse, viande - CUITE</t>
  </si>
  <si>
    <t>Quantité d'eau théorique minimum que devrait boire votre chat par jour</t>
  </si>
  <si>
    <t>Quantité d'eau théorique minimum que devrait boire votre chaton par jour</t>
  </si>
  <si>
    <t>Quantité d'eau théorique minimum que devrait boire votre chat ado par jour</t>
  </si>
  <si>
    <t>Eau viande</t>
  </si>
  <si>
    <t>de viande de cuisse de poulet crue désossée</t>
  </si>
  <si>
    <t>de viande de cuisse de poulet cuite désossée</t>
  </si>
  <si>
    <t>FLAG VERIF EM VIANDE &gt; BEE</t>
  </si>
  <si>
    <t>v3.0 $Z$85 EM VIANDE</t>
  </si>
  <si>
    <t>VIANDE &gt; 100% BEE</t>
  </si>
  <si>
    <t>MESSAGE ALERTE VIANDE</t>
  </si>
  <si>
    <t>La viande dépasse 100% des besoins énergetiques, merci de diminuer la quantité</t>
  </si>
  <si>
    <t>% EM VIANDE</t>
  </si>
  <si>
    <t>DEBUG</t>
  </si>
  <si>
    <t>A ZERO</t>
  </si>
  <si>
    <t>CA et P</t>
  </si>
  <si>
    <t>v3.03</t>
  </si>
  <si>
    <r>
      <t>Prix en</t>
    </r>
    <r>
      <rPr>
        <b/>
        <sz val="12"/>
        <color indexed="8"/>
        <rFont val="Gill Sans MT"/>
        <family val="2"/>
      </rPr>
      <t xml:space="preserve"> Euro / kg </t>
    </r>
    <r>
      <rPr>
        <sz val="12"/>
        <color indexed="8"/>
        <rFont val="Gill Sans MT"/>
        <family val="2"/>
      </rPr>
      <t>de mes croquettes</t>
    </r>
  </si>
  <si>
    <r>
      <t>Prix en</t>
    </r>
    <r>
      <rPr>
        <b/>
        <sz val="12"/>
        <color indexed="8"/>
        <rFont val="Gill Sans MT"/>
        <family val="2"/>
      </rPr>
      <t xml:space="preserve"> Euro / kg </t>
    </r>
    <r>
      <rPr>
        <sz val="12"/>
        <color indexed="8"/>
        <rFont val="Gill Sans MT"/>
        <family val="2"/>
      </rPr>
      <t>de ma pâtée</t>
    </r>
  </si>
  <si>
    <t>Chat type Européen poil court</t>
  </si>
  <si>
    <t>Chat type Européen poil mi-long</t>
  </si>
  <si>
    <t>Chat type Européen poil long</t>
  </si>
  <si>
    <t>Abyssin</t>
  </si>
  <si>
    <t>Américain Bobtail</t>
  </si>
  <si>
    <t>Américain Curl</t>
  </si>
  <si>
    <t>Américain Shorthair</t>
  </si>
  <si>
    <t>Angora Turc</t>
  </si>
  <si>
    <t>Balinais</t>
  </si>
  <si>
    <t>Bengal</t>
  </si>
  <si>
    <t>Birman</t>
  </si>
  <si>
    <t>Bobtail Japonais</t>
  </si>
  <si>
    <t>Bombay</t>
  </si>
  <si>
    <t>British Longhair</t>
  </si>
  <si>
    <t>Chartreux</t>
  </si>
  <si>
    <t>Exotic Shorthair</t>
  </si>
  <si>
    <t>Highland Fold</t>
  </si>
  <si>
    <t>Korat</t>
  </si>
  <si>
    <t>Maine Coon</t>
  </si>
  <si>
    <t>Mandarin</t>
  </si>
  <si>
    <t>Mau Egyptien</t>
  </si>
  <si>
    <t>Munchkin</t>
  </si>
  <si>
    <t>Norvégien</t>
  </si>
  <si>
    <t>Oriental Shorthair</t>
  </si>
  <si>
    <t>Persan</t>
  </si>
  <si>
    <t>Pixie Bob</t>
  </si>
  <si>
    <t>Sacré de Birmanie</t>
  </si>
  <si>
    <t>Savannah</t>
  </si>
  <si>
    <t>Scottish Fold</t>
  </si>
  <si>
    <t>Siamois</t>
  </si>
  <si>
    <t>Sibérien</t>
  </si>
  <si>
    <t>Snow shoe</t>
  </si>
  <si>
    <t>Sphynx</t>
  </si>
  <si>
    <t>Thaï</t>
  </si>
  <si>
    <t>Tonkinois</t>
  </si>
  <si>
    <t>BASE DE DONNEES FACTEURS DE CORRECTION / PROTEINES MINIMUM</t>
  </si>
  <si>
    <r>
      <t xml:space="preserve">Le </t>
    </r>
    <r>
      <rPr>
        <b/>
        <sz val="10.5"/>
        <color indexed="8"/>
        <rFont val="Gill Sans MT"/>
        <family val="2"/>
      </rPr>
      <t>poids idéal</t>
    </r>
    <r>
      <rPr>
        <sz val="10.5"/>
        <color indexed="8"/>
        <rFont val="Gill Sans MT"/>
        <family val="2"/>
      </rPr>
      <t xml:space="preserve"> est le poids "de forme" de votre chat
Pour un </t>
    </r>
    <r>
      <rPr>
        <b/>
        <sz val="10.5"/>
        <color indexed="8"/>
        <rFont val="Gill Sans MT"/>
        <family val="2"/>
      </rPr>
      <t>chaton</t>
    </r>
    <r>
      <rPr>
        <sz val="10.5"/>
        <color indexed="8"/>
        <rFont val="Gill Sans MT"/>
        <family val="2"/>
      </rPr>
      <t xml:space="preserve">, ne </t>
    </r>
    <r>
      <rPr>
        <sz val="10.5"/>
        <color indexed="8"/>
        <rFont val="Gill Sans MT"/>
        <family val="2"/>
      </rPr>
      <t>pas mettre le poids adulte !</t>
    </r>
  </si>
  <si>
    <t>FLAG</t>
  </si>
  <si>
    <t>Prot/P antibug à partir de v3.7</t>
  </si>
  <si>
    <t>Lexique</t>
  </si>
  <si>
    <t>FLAG 1 / 2 / TOTAL</t>
  </si>
  <si>
    <t>MESSAGE ALERTE MANQUE DE PROTEINES &amp; NUTRITIONNEL</t>
  </si>
  <si>
    <t>Message si NIVEAU 1</t>
  </si>
  <si>
    <t>Message si NIVEAU 2</t>
  </si>
  <si>
    <t>COULEUR</t>
  </si>
  <si>
    <t>SUIVANT FLAG NUTRI</t>
  </si>
  <si>
    <t>GESTION ALERTE</t>
  </si>
  <si>
    <t>STADE</t>
  </si>
  <si>
    <t>Min</t>
  </si>
  <si>
    <t>Max</t>
  </si>
  <si>
    <t>Senior</t>
  </si>
  <si>
    <r>
      <rPr>
        <b/>
        <sz val="10"/>
        <rFont val="Gill Sans MT"/>
        <family val="2"/>
      </rPr>
      <t>RPC</t>
    </r>
    <r>
      <rPr>
        <sz val="10"/>
        <rFont val="Gill Sans MT"/>
        <family val="2"/>
      </rPr>
      <t xml:space="preserve"> : rapport protido-calorique, il évalue la concentration en
protéines d'un aliment par rapport aux calories qu'il apporte</t>
    </r>
  </si>
  <si>
    <r>
      <rPr>
        <b/>
        <sz val="10"/>
        <rFont val="Gill Sans MT"/>
        <family val="2"/>
      </rPr>
      <t>RPP</t>
    </r>
    <r>
      <rPr>
        <sz val="10"/>
        <rFont val="Gill Sans MT"/>
        <family val="2"/>
      </rPr>
      <t xml:space="preserve"> : rapport protido-phosphorique, il évalue la qualité des
matières premières utilisées (rapport &gt;35 recommandé)</t>
    </r>
  </si>
  <si>
    <r>
      <rPr>
        <b/>
        <sz val="10"/>
        <rFont val="Gill Sans MT"/>
        <family val="2"/>
      </rPr>
      <t>CMV</t>
    </r>
    <r>
      <rPr>
        <sz val="10"/>
        <rFont val="Gill Sans MT"/>
        <family val="2"/>
      </rPr>
      <t xml:space="preserve"> : complexe minéralo-vitaminé utilisé comme
complément pour apporter vitamines et minéraux</t>
    </r>
  </si>
  <si>
    <t>K sanitaire</t>
  </si>
  <si>
    <t>FACTEUR OBESITE</t>
  </si>
  <si>
    <t>Choix final</t>
  </si>
  <si>
    <t>RPC sur EM final</t>
  </si>
  <si>
    <t>Niveau 1</t>
  </si>
  <si>
    <t>% lipides max</t>
  </si>
  <si>
    <t>Niveau 2</t>
  </si>
  <si>
    <t>SEUILS ALERTE</t>
  </si>
  <si>
    <t>SEUILS WARNING</t>
  </si>
  <si>
    <t>g Ca / Mcal BE</t>
  </si>
  <si>
    <t>g P / Mcal BE</t>
  </si>
  <si>
    <t>Min / Mcal BE</t>
  </si>
  <si>
    <t>Max / Mcal BE</t>
  </si>
  <si>
    <t>QTT Croquettes</t>
  </si>
  <si>
    <t>QTT Patée</t>
  </si>
  <si>
    <r>
      <t xml:space="preserve"> % de la ration en </t>
    </r>
    <r>
      <rPr>
        <b/>
        <sz val="12"/>
        <color indexed="8"/>
        <rFont val="Gill Sans MT"/>
        <family val="2"/>
      </rPr>
      <t>CROQUETTES</t>
    </r>
  </si>
  <si>
    <r>
      <t xml:space="preserve"> % de la ration en </t>
    </r>
    <r>
      <rPr>
        <b/>
        <sz val="12"/>
        <color indexed="8"/>
        <rFont val="Gill Sans MT"/>
        <family val="2"/>
      </rPr>
      <t>PÂTEE</t>
    </r>
  </si>
  <si>
    <t>REPARTION</t>
  </si>
  <si>
    <t>En apports</t>
  </si>
  <si>
    <t>En poids</t>
  </si>
  <si>
    <t>Scoring type répartition</t>
  </si>
  <si>
    <t xml:space="preserve"> Choisir le type de % de répartition </t>
  </si>
  <si>
    <t>RESULTAT</t>
  </si>
  <si>
    <t>MODE EM / POIDS</t>
  </si>
  <si>
    <r>
      <t xml:space="preserve"> Pour les chats, une répartition </t>
    </r>
    <r>
      <rPr>
        <i/>
        <sz val="12"/>
        <rFont val="Gill Sans MT"/>
        <family val="2"/>
      </rPr>
      <t>en apports</t>
    </r>
    <r>
      <rPr>
        <sz val="12"/>
        <rFont val="Gill Sans MT"/>
        <family val="2"/>
      </rPr>
      <t xml:space="preserve"> est à privilégier</t>
    </r>
  </si>
  <si>
    <r>
      <t xml:space="preserve"> Vous voulez ajouter de la </t>
    </r>
    <r>
      <rPr>
        <b/>
        <sz val="12"/>
        <rFont val="Gill Sans MT"/>
        <family val="2"/>
      </rPr>
      <t>viande fraîche</t>
    </r>
    <r>
      <rPr>
        <sz val="12"/>
        <rFont val="Gill Sans MT"/>
        <family val="2"/>
      </rPr>
      <t xml:space="preserve"> ? (choisir laquelle et la quantité en grammes)</t>
    </r>
  </si>
  <si>
    <t>NRC2006 - CROQUETTES</t>
  </si>
  <si>
    <t>EB</t>
  </si>
  <si>
    <t>dE</t>
  </si>
  <si>
    <t>ED</t>
  </si>
  <si>
    <t>NRC2006 - PATEES</t>
  </si>
  <si>
    <t>Pour Charlotte           g/Mcal</t>
  </si>
  <si>
    <t>Une gamelle au top</t>
  </si>
  <si>
    <t>https://www.unegamelleautop.fr/</t>
  </si>
  <si>
    <r>
      <rPr>
        <b/>
        <sz val="12"/>
        <color indexed="8"/>
        <rFont val="Gill Sans MT"/>
        <family val="2"/>
      </rPr>
      <t>Antinéa Ecrepont</t>
    </r>
    <r>
      <rPr>
        <sz val="12"/>
        <color indexed="8"/>
        <rFont val="Gill Sans MT"/>
        <family val="2"/>
      </rPr>
      <t xml:space="preserve"> - Docteur en médecine vétérinaire</t>
    </r>
  </si>
  <si>
    <r>
      <rPr>
        <b/>
        <sz val="12"/>
        <color indexed="8"/>
        <rFont val="Gill Sans MT"/>
        <family val="2"/>
      </rPr>
      <t>Charlotte Gnaedinger</t>
    </r>
    <r>
      <rPr>
        <sz val="12"/>
        <color indexed="8"/>
        <rFont val="Gill Sans MT"/>
        <family val="2"/>
      </rPr>
      <t xml:space="preserve"> - Ingénieure Agronome spécialisée en nutrition animale</t>
    </r>
  </si>
  <si>
    <r>
      <rPr>
        <b/>
        <sz val="12"/>
        <color indexed="8"/>
        <rFont val="Gill Sans MT"/>
        <family val="2"/>
      </rPr>
      <t>Damien Dehon</t>
    </r>
    <r>
      <rPr>
        <sz val="12"/>
        <color indexed="8"/>
        <rFont val="Gill Sans MT"/>
        <family val="2"/>
      </rPr>
      <t xml:space="preserve"> - Consultant avec double cursus en biologie et informatique</t>
    </r>
  </si>
  <si>
    <t>Pas d'accès à l'extérieur</t>
  </si>
  <si>
    <t>Stressé</t>
  </si>
  <si>
    <t>UNE GAMELLE AU TOP</t>
  </si>
  <si>
    <t>STRICTEMENT INTERDITE</t>
  </si>
  <si>
    <t>SOUS PEINE DE POURSUITES</t>
  </si>
  <si>
    <t>LOCK ACTIVITE</t>
  </si>
  <si>
    <t>0 = pas de lock</t>
  </si>
  <si>
    <t>1 = lock activité normale</t>
  </si>
  <si>
    <t>LOCK ACTIVITE CHATON</t>
  </si>
  <si>
    <t>RACE</t>
  </si>
  <si>
    <t>POIDS</t>
  </si>
  <si>
    <t>ACTIVITE</t>
  </si>
  <si>
    <t>ETAT CORPOREL</t>
  </si>
  <si>
    <t>STERILISATION</t>
  </si>
  <si>
    <t>STADE DE VIE</t>
  </si>
  <si>
    <t>LIEU DE VIE</t>
  </si>
  <si>
    <t>APPETIT</t>
  </si>
  <si>
    <r>
      <t xml:space="preserve">Pas de panique ! 
Toutes les données demandées concernent </t>
    </r>
    <r>
      <rPr>
        <b/>
        <sz val="11"/>
        <color indexed="8"/>
        <rFont val="Gill Sans MT"/>
        <family val="2"/>
      </rPr>
      <t>VOTRE CHAT</t>
    </r>
    <r>
      <rPr>
        <sz val="11"/>
        <color indexed="8"/>
        <rFont val="Gill Sans MT"/>
        <family val="2"/>
      </rPr>
      <t xml:space="preserve"> que vous connaissez bien et </t>
    </r>
    <r>
      <rPr>
        <b/>
        <sz val="11"/>
        <color indexed="8"/>
        <rFont val="Gill Sans MT"/>
        <family val="2"/>
      </rPr>
      <t>les informations chiffrées situées derrière les emballages</t>
    </r>
  </si>
  <si>
    <t>Les concepteurs</t>
  </si>
  <si>
    <t>Cet outil a été imaginé et conçu initialement par :</t>
  </si>
  <si>
    <t>Responsable de la maintenance, des évolutions et de l'hébergement :</t>
  </si>
  <si>
    <r>
      <rPr>
        <b/>
        <sz val="12"/>
        <color indexed="8"/>
        <rFont val="Gill Sans MT"/>
        <family val="2"/>
      </rPr>
      <t>Damien Dehon</t>
    </r>
    <r>
      <rPr>
        <sz val="12"/>
        <color indexed="8"/>
        <rFont val="Gill Sans MT"/>
        <family val="2"/>
      </rPr>
      <t xml:space="preserve"> - damien@unegamelleautop.fr</t>
    </r>
  </si>
  <si>
    <t>www.unegamelleautop.fr</t>
  </si>
  <si>
    <t>FLAG VERIF EM MAX VIANDE 10%</t>
  </si>
  <si>
    <t>VIANDE &gt; 10% BE</t>
  </si>
  <si>
    <t>La viande dépasse 10% des besoins énergetiques, sans CMV il y a risque de déséquilibre nutritionnel</t>
  </si>
  <si>
    <t>Accès à l'extérieur (&gt; 12h)</t>
  </si>
  <si>
    <t>Accès limité à l'extérieur (&lt; 12h)</t>
  </si>
  <si>
    <t>Actif</t>
  </si>
  <si>
    <r>
      <t>Calculateur de ration croquettes et pâtée pour Chat</t>
    </r>
    <r>
      <rPr>
        <i/>
        <sz val="9"/>
        <color indexed="9"/>
        <rFont val="Gill Sans MT"/>
        <family val="2"/>
      </rPr>
      <t xml:space="preserve">
</t>
    </r>
    <r>
      <rPr>
        <sz val="9"/>
        <color indexed="9"/>
        <rFont val="Gill Sans MT"/>
        <family val="2"/>
      </rPr>
      <t>Version 7.00 28/08/2024</t>
    </r>
  </si>
  <si>
    <r>
      <t xml:space="preserve">BEE   | </t>
    </r>
    <r>
      <rPr>
        <sz val="11"/>
        <color indexed="9"/>
        <rFont val="Calibri"/>
        <family val="2"/>
      </rPr>
      <t xml:space="preserve"> BE (minimum 50% du BEE)</t>
    </r>
  </si>
  <si>
    <r>
      <t xml:space="preserve">Qtt Protéines (g/j) minimum  |  </t>
    </r>
    <r>
      <rPr>
        <sz val="11"/>
        <color indexed="9"/>
        <rFont val="Calibri"/>
        <family val="2"/>
      </rPr>
      <t>10% EM MAX AJOUT VIANDE</t>
    </r>
  </si>
  <si>
    <r>
      <t xml:space="preserve">Qtt Protéines (g/j) par poids vif | </t>
    </r>
    <r>
      <rPr>
        <sz val="11"/>
        <color indexed="9"/>
        <rFont val="Calibri"/>
        <family val="2"/>
      </rPr>
      <t>Humidité</t>
    </r>
  </si>
  <si>
    <r>
      <t>Grammes protéines |</t>
    </r>
    <r>
      <rPr>
        <sz val="11"/>
        <color indexed="9"/>
        <rFont val="Calibri"/>
        <family val="2"/>
      </rPr>
      <t xml:space="preserve"> Ca/P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</si>
</sst>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theme="1"/>
      <name val="Calibri"/>
      <family val="2"/>
      <scheme val="minor"/>
    </font>
    <font>
      <sz val="14"/>
      <name val="Gill Sans MT"/>
      <family val="2"/>
    </font>
    <font>
      <sz val="11"/>
      <name val="Gill Sans MT"/>
      <family val="2"/>
    </font>
    <font>
      <sz val="12"/>
      <name val="Gill Sans MT"/>
      <family val="2"/>
    </font>
    <font>
      <sz val="11"/>
      <color indexed="8"/>
      <name val="Gill Sans MT"/>
      <family val="2"/>
    </font>
    <font>
      <b/>
      <sz val="11"/>
      <color indexed="8"/>
      <name val="Gill Sans MT"/>
      <family val="2"/>
    </font>
    <font>
      <sz val="8"/>
      <name val="Gill Sans MT"/>
      <family val="2"/>
    </font>
    <font>
      <sz val="13"/>
      <name val="Gill Sans MT"/>
      <family val="2"/>
    </font>
    <font>
      <b/>
      <sz val="12"/>
      <name val="Gill Sans MT"/>
      <family val="2"/>
    </font>
    <font>
      <b/>
      <sz val="14"/>
      <name val="Gill Sans MT"/>
      <family val="2"/>
    </font>
    <font>
      <b/>
      <sz val="13"/>
      <name val="Gill Sans MT"/>
      <family val="2"/>
    </font>
    <font>
      <b/>
      <sz val="20"/>
      <name val="Gill Sans MT"/>
      <family val="2"/>
    </font>
    <font>
      <sz val="20"/>
      <name val="Gill Sans MT"/>
      <family val="2"/>
    </font>
    <font>
      <b/>
      <sz val="11"/>
      <name val="Gill Sans MT"/>
      <family val="2"/>
    </font>
    <font>
      <sz val="12"/>
      <color indexed="50"/>
      <name val="Gill Sans MT"/>
      <family val="2"/>
    </font>
    <font>
      <sz val="12"/>
      <color indexed="19"/>
      <name val="Gill Sans MT"/>
      <family val="2"/>
    </font>
    <font>
      <sz val="12"/>
      <color indexed="53"/>
      <name val="Gill Sans MT"/>
      <family val="2"/>
    </font>
    <font>
      <sz val="12"/>
      <color indexed="60"/>
      <name val="Gill Sans MT"/>
      <family val="2"/>
    </font>
    <font>
      <b/>
      <sz val="10.5"/>
      <color indexed="8"/>
      <name val="Gill Sans MT"/>
      <family val="2"/>
    </font>
    <font>
      <sz val="10.5"/>
      <color indexed="8"/>
      <name val="Gill Sans MT"/>
      <family val="2"/>
    </font>
    <font>
      <sz val="12"/>
      <color indexed="8"/>
      <name val="Gill Sans MT"/>
      <family val="2"/>
    </font>
    <font>
      <b/>
      <sz val="12"/>
      <color indexed="8"/>
      <name val="Gill Sans MT"/>
      <family val="2"/>
    </font>
    <font>
      <sz val="10"/>
      <name val="Gill Sans MT"/>
      <family val="2"/>
    </font>
    <font>
      <b/>
      <sz val="10"/>
      <name val="Gill Sans MT"/>
      <family val="2"/>
    </font>
    <font>
      <b/>
      <sz val="12"/>
      <color indexed="8"/>
      <name val="Gill Sans MT"/>
      <family val="2"/>
    </font>
    <font>
      <i/>
      <sz val="12"/>
      <name val="Gill Sans MT"/>
      <family val="2"/>
    </font>
    <font>
      <sz val="24"/>
      <color indexed="9"/>
      <name val="Gill Sans MT"/>
      <family val="2"/>
    </font>
    <font>
      <i/>
      <sz val="9"/>
      <color indexed="9"/>
      <name val="Gill Sans MT"/>
      <family val="2"/>
    </font>
    <font>
      <sz val="9"/>
      <color indexed="9"/>
      <name val="Gill Sans MT"/>
      <family val="2"/>
    </font>
    <font>
      <sz val="20"/>
      <color indexed="9"/>
      <name val="Gill Sans MT"/>
      <family val="2"/>
    </font>
    <font>
      <sz val="8"/>
      <color indexed="9"/>
      <name val="Gill Sans MT"/>
      <family val="2"/>
    </font>
    <font>
      <sz val="11"/>
      <color indexed="9"/>
      <name val="Calibri"/>
      <family val="2"/>
    </font>
    <font>
      <sz val="11"/>
      <color theme="0"/>
      <name val="Calibri"/>
      <family val="2"/>
      <scheme val="minor"/>
    </font>
    <font>
      <sz val="11"/>
      <color rgb="FFFF0000"/>
      <name val="Calibri"/>
      <family val="2"/>
      <scheme val="minor"/>
    </font>
    <font>
      <u/>
      <sz val="11"/>
      <color theme="10"/>
      <name val="Calibri"/>
      <family val="2"/>
      <scheme val="minor"/>
    </font>
    <font>
      <sz val="20"/>
      <color theme="1"/>
      <name val="Gill Sans"/>
    </font>
    <font>
      <b/>
      <sz val="11"/>
      <color theme="1"/>
      <name val="Calibri"/>
      <family val="2"/>
      <scheme val="minor"/>
    </font>
    <font>
      <b/>
      <sz val="11"/>
      <color theme="0"/>
      <name val="Calibri"/>
      <family val="2"/>
      <scheme val="minor"/>
    </font>
    <font>
      <sz val="12"/>
      <color theme="1"/>
      <name val="Gill Sans MT"/>
      <family val="2"/>
    </font>
    <font>
      <sz val="11"/>
      <color theme="1"/>
      <name val="Gill Sans MT"/>
      <family val="2"/>
    </font>
    <font>
      <b/>
      <sz val="11"/>
      <color theme="1"/>
      <name val="Gill Sans MT"/>
      <family val="2"/>
    </font>
    <font>
      <b/>
      <sz val="14"/>
      <color theme="0"/>
      <name val="Calibri"/>
      <family val="2"/>
      <scheme val="minor"/>
    </font>
    <font>
      <b/>
      <sz val="16"/>
      <color theme="0"/>
      <name val="Calibri"/>
      <family val="2"/>
      <scheme val="minor"/>
    </font>
    <font>
      <b/>
      <sz val="11"/>
      <color theme="7" tint="-0.249977111117893"/>
      <name val="Gill Sans MT"/>
      <family val="2"/>
    </font>
    <font>
      <sz val="8"/>
      <color theme="1" tint="0.249977111117893"/>
      <name val="Gill Sans MT"/>
      <family val="2"/>
    </font>
    <font>
      <b/>
      <sz val="18"/>
      <color theme="0"/>
      <name val="Gill Sans MT"/>
      <family val="2"/>
    </font>
    <font>
      <sz val="14"/>
      <color theme="1"/>
      <name val="Gill Sans MT"/>
      <family val="2"/>
    </font>
    <font>
      <b/>
      <sz val="12"/>
      <color rgb="FFFF0000"/>
      <name val="Gill Sans MT"/>
      <family val="2"/>
    </font>
    <font>
      <sz val="12"/>
      <color theme="1"/>
      <name val="Calibri"/>
      <family val="2"/>
      <scheme val="minor"/>
    </font>
    <font>
      <b/>
      <sz val="12"/>
      <color theme="1"/>
      <name val="Gill Sans MT"/>
      <family val="2"/>
    </font>
    <font>
      <sz val="14"/>
      <color theme="0"/>
      <name val="Gill Sans MT"/>
      <family val="2"/>
    </font>
    <font>
      <sz val="12"/>
      <color theme="2" tint="-0.499984740745262"/>
      <name val="Gill Sans MT"/>
      <family val="2"/>
    </font>
    <font>
      <sz val="6"/>
      <color theme="2" tint="-0.499984740745262"/>
      <name val="Gill Sans MT"/>
      <family val="2"/>
    </font>
    <font>
      <sz val="11"/>
      <color theme="2" tint="-0.499984740745262"/>
      <name val="Gill Sans MT"/>
      <family val="2"/>
    </font>
    <font>
      <sz val="11"/>
      <name val="Calibri"/>
      <family val="2"/>
      <scheme val="minor"/>
    </font>
    <font>
      <sz val="11"/>
      <color theme="2" tint="-0.499984740745262"/>
      <name val="Calibri"/>
      <family val="2"/>
      <scheme val="minor"/>
    </font>
    <font>
      <sz val="12"/>
      <color theme="1" tint="0.34998626667073579"/>
      <name val="Gill Sans MT"/>
      <family val="2"/>
    </font>
    <font>
      <sz val="11"/>
      <color theme="1" tint="0.34998626667073579"/>
      <name val="Gill Sans MT"/>
      <family val="2"/>
    </font>
    <font>
      <sz val="20"/>
      <color theme="1"/>
      <name val="Calibri"/>
      <family val="2"/>
      <scheme val="minor"/>
    </font>
    <font>
      <sz val="12"/>
      <color theme="0"/>
      <name val="Gill Sans MT"/>
      <family val="2"/>
    </font>
    <font>
      <b/>
      <sz val="15"/>
      <color theme="0"/>
      <name val="Calibri"/>
      <family val="2"/>
      <scheme val="minor"/>
    </font>
    <font>
      <b/>
      <sz val="15"/>
      <color theme="0"/>
      <name val="Gill Sans MT"/>
      <family val="2"/>
    </font>
    <font>
      <u/>
      <sz val="15"/>
      <color theme="0"/>
      <name val="Calibri"/>
      <family val="2"/>
      <scheme val="minor"/>
    </font>
    <font>
      <b/>
      <sz val="14"/>
      <color rgb="FFFF0000"/>
      <name val="Gill Sans MT"/>
      <family val="2"/>
    </font>
    <font>
      <sz val="14"/>
      <color rgb="FFFF0000"/>
      <name val="Calibri"/>
      <family val="2"/>
      <scheme val="minor"/>
    </font>
    <font>
      <sz val="11"/>
      <color theme="0"/>
      <name val="Gill Sans MT"/>
      <family val="2"/>
    </font>
    <font>
      <sz val="10"/>
      <name val="Calibri"/>
      <family val="2"/>
      <scheme val="minor"/>
    </font>
    <font>
      <sz val="10.5"/>
      <color theme="1"/>
      <name val="Gill Sans MT"/>
      <family val="2"/>
    </font>
    <font>
      <sz val="10.5"/>
      <color theme="1"/>
      <name val="Calibri"/>
      <family val="2"/>
      <scheme val="minor"/>
    </font>
    <font>
      <sz val="14"/>
      <color theme="1"/>
      <name val="Calibri"/>
      <family val="2"/>
      <scheme val="minor"/>
    </font>
    <font>
      <sz val="10.5"/>
      <color theme="0"/>
      <name val="Gill Sans MT"/>
      <family val="2"/>
    </font>
    <font>
      <b/>
      <sz val="12"/>
      <color theme="0"/>
      <name val="Calibri"/>
      <family val="2"/>
      <scheme val="minor"/>
    </font>
    <font>
      <sz val="14"/>
      <color theme="0"/>
      <name val="Calibri"/>
      <family val="2"/>
      <scheme val="minor"/>
    </font>
    <font>
      <sz val="12"/>
      <color theme="0"/>
      <name val="Calibri"/>
      <family val="2"/>
      <scheme val="minor"/>
    </font>
    <font>
      <sz val="11"/>
      <color theme="0"/>
      <name val="Calibri"/>
      <family val="2"/>
    </font>
    <font>
      <sz val="8"/>
      <color theme="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rgb="FFFF0000"/>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1" tint="0.249977111117893"/>
        <bgColor indexed="64"/>
      </patternFill>
    </fill>
  </fills>
  <borders count="65">
    <border>
      <left/>
      <right/>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bottom style="hair">
        <color theme="0" tint="-0.499984740745262"/>
      </bottom>
      <diagonal/>
    </border>
    <border>
      <left/>
      <right/>
      <top style="thin">
        <color theme="0" tint="-0.499984740745262"/>
      </top>
      <bottom style="hair">
        <color theme="0" tint="-0.499984740745262"/>
      </bottom>
      <diagonal/>
    </border>
    <border>
      <left style="dotted">
        <color theme="0" tint="-0.499984740745262"/>
      </left>
      <right/>
      <top/>
      <bottom style="dotted">
        <color theme="0" tint="-0.499984740745262"/>
      </bottom>
      <diagonal/>
    </border>
    <border>
      <left/>
      <right style="dotted">
        <color theme="0" tint="-0.499984740745262"/>
      </right>
      <top/>
      <bottom/>
      <diagonal/>
    </border>
    <border>
      <left/>
      <right style="thin">
        <color theme="0" tint="-0.499984740745262"/>
      </right>
      <top/>
      <bottom/>
      <diagonal/>
    </border>
    <border>
      <left/>
      <right style="thin">
        <color theme="0" tint="-4.9989318521683403E-2"/>
      </right>
      <top/>
      <bottom/>
      <diagonal/>
    </border>
    <border>
      <left style="thin">
        <color theme="0" tint="-0.499984740745262"/>
      </left>
      <right style="thin">
        <color theme="0" tint="-4.9989318521683403E-2"/>
      </right>
      <top style="thin">
        <color theme="0" tint="-0.499984740745262"/>
      </top>
      <bottom style="thin">
        <color theme="0" tint="-0.499984740745262"/>
      </bottom>
      <diagonal/>
    </border>
    <border>
      <left style="thin">
        <color theme="0" tint="-4.9989318521683403E-2"/>
      </left>
      <right/>
      <top/>
      <bottom/>
      <diagonal/>
    </border>
    <border>
      <left/>
      <right style="thin">
        <color theme="0" tint="-4.9989318521683403E-2"/>
      </right>
      <top style="thin">
        <color theme="0" tint="-0.499984740745262"/>
      </top>
      <bottom style="hair">
        <color theme="0" tint="-0.499984740745262"/>
      </bottom>
      <diagonal/>
    </border>
    <border>
      <left style="thin">
        <color theme="0" tint="-4.9989318521683403E-2"/>
      </left>
      <right/>
      <top/>
      <bottom style="hair">
        <color theme="0" tint="-0.499984740745262"/>
      </bottom>
      <diagonal/>
    </border>
    <border>
      <left/>
      <right style="thin">
        <color theme="0" tint="-4.9989318521683403E-2"/>
      </right>
      <top/>
      <bottom style="hair">
        <color theme="0" tint="-0.499984740745262"/>
      </bottom>
      <diagonal/>
    </border>
    <border>
      <left style="thin">
        <color theme="0" tint="-4.9989318521683403E-2"/>
      </left>
      <right/>
      <top style="hair">
        <color indexed="64"/>
      </top>
      <bottom/>
      <diagonal/>
    </border>
    <border>
      <left/>
      <right style="thin">
        <color theme="0" tint="-4.9989318521683403E-2"/>
      </right>
      <top style="hair">
        <color indexed="64"/>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bottom style="dotted">
        <color theme="0" tint="-0.499984740745262"/>
      </bottom>
      <diagonal/>
    </border>
    <border>
      <left/>
      <right/>
      <top style="thin">
        <color theme="0" tint="-0.14990691854609822"/>
      </top>
      <bottom/>
      <diagonal/>
    </border>
    <border>
      <left/>
      <right style="thin">
        <color theme="0" tint="-0.1498764000366222"/>
      </right>
      <top style="thin">
        <color theme="0" tint="-0.14990691854609822"/>
      </top>
      <bottom/>
      <diagonal/>
    </border>
    <border>
      <left/>
      <right style="thin">
        <color theme="0" tint="-0.1498764000366222"/>
      </right>
      <top/>
      <bottom/>
      <diagonal/>
    </border>
    <border>
      <left style="thin">
        <color theme="0" tint="-0.1498764000366222"/>
      </left>
      <right/>
      <top/>
      <bottom/>
      <diagonal/>
    </border>
    <border>
      <left style="thin">
        <color theme="0" tint="-0.1498764000366222"/>
      </left>
      <right/>
      <top/>
      <bottom style="thin">
        <color theme="0" tint="-0.1498458815271462"/>
      </bottom>
      <diagonal/>
    </border>
    <border>
      <left/>
      <right/>
      <top/>
      <bottom style="thin">
        <color theme="0" tint="-0.1498458815271462"/>
      </bottom>
      <diagonal/>
    </border>
    <border>
      <left/>
      <right style="thin">
        <color theme="0" tint="-0.1498764000366222"/>
      </right>
      <top/>
      <bottom style="thin">
        <color theme="0" tint="-0.1498458815271462"/>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8764000366222"/>
      </left>
      <right/>
      <top style="thin">
        <color theme="0" tint="-0.14990691854609822"/>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dotted">
        <color theme="0" tint="-0.499984740745262"/>
      </left>
      <right/>
      <top style="thin">
        <color theme="0" tint="-4.9989318521683403E-2"/>
      </top>
      <bottom/>
      <diagonal/>
    </border>
    <border>
      <left/>
      <right style="dotted">
        <color theme="0" tint="-0.499984740745262"/>
      </right>
      <top style="thin">
        <color theme="0" tint="-4.9989318521683403E-2"/>
      </top>
      <bottom/>
      <diagonal/>
    </border>
    <border>
      <left style="thin">
        <color theme="0" tint="-4.9989318521683403E-2"/>
      </left>
      <right/>
      <top/>
      <bottom style="thin">
        <color theme="0" tint="-0.499984740745262"/>
      </bottom>
      <diagonal/>
    </border>
    <border>
      <left/>
      <right style="thin">
        <color theme="0" tint="-4.9989318521683403E-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4.9989318521683403E-2"/>
      </right>
      <top style="thin">
        <color theme="0" tint="-0.499984740745262"/>
      </top>
      <bottom style="thin">
        <color theme="0" tint="-0.499984740745262"/>
      </bottom>
      <diagonal/>
    </border>
    <border>
      <left style="thin">
        <color theme="0" tint="-4.9989318521683403E-2"/>
      </left>
      <right/>
      <top style="thin">
        <color theme="0" tint="-0.499984740745262"/>
      </top>
      <bottom/>
      <diagonal/>
    </border>
    <border>
      <left/>
      <right/>
      <top style="thin">
        <color theme="0" tint="-0.499984740745262"/>
      </top>
      <bottom/>
      <diagonal/>
    </border>
    <border>
      <left/>
      <right style="thin">
        <color theme="0" tint="-4.9989318521683403E-2"/>
      </right>
      <top style="thin">
        <color theme="0" tint="-0.499984740745262"/>
      </top>
      <bottom/>
      <diagonal/>
    </border>
    <border>
      <left style="thin">
        <color theme="0" tint="-4.9989318521683403E-2"/>
      </left>
      <right/>
      <top style="thin">
        <color theme="0" tint="-0.499984740745262"/>
      </top>
      <bottom style="hair">
        <color theme="0" tint="-0.499984740745262"/>
      </bottom>
      <diagonal/>
    </border>
    <border>
      <left style="thin">
        <color theme="0" tint="-4.9989318521683403E-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thin">
        <color theme="0" tint="-4.9989318521683403E-2"/>
      </left>
      <right/>
      <top style="dotted">
        <color theme="0" tint="-0.499984740745262"/>
      </top>
      <bottom/>
      <diagonal/>
    </border>
    <border>
      <left/>
      <right/>
      <top style="dotted">
        <color theme="0" tint="-0.499984740745262"/>
      </top>
      <bottom/>
      <diagonal/>
    </border>
    <border>
      <left/>
      <right style="thin">
        <color theme="0" tint="-4.9989318521683403E-2"/>
      </right>
      <top style="dotted">
        <color theme="0" tint="-0.499984740745262"/>
      </top>
      <bottom/>
      <diagonal/>
    </border>
  </borders>
  <cellStyleXfs count="3">
    <xf numFmtId="0" fontId="0" fillId="0" borderId="0"/>
    <xf numFmtId="0" fontId="34" fillId="0" borderId="0" applyNumberFormat="0" applyFill="0" applyBorder="0" applyAlignment="0" applyProtection="0"/>
    <xf numFmtId="0" fontId="35" fillId="0" borderId="0"/>
  </cellStyleXfs>
  <cellXfs count="368">
    <xf numFmtId="0" fontId="0" fillId="0" borderId="0" xfId="0"/>
    <xf numFmtId="0" fontId="0" fillId="2" borderId="0" xfId="0" applyFill="1"/>
    <xf numFmtId="0" fontId="32" fillId="2" borderId="0" xfId="0" applyFont="1" applyFill="1" applyBorder="1" applyAlignment="1" applyProtection="1">
      <alignment horizontal="center" vertical="center"/>
    </xf>
    <xf numFmtId="0" fontId="37" fillId="2" borderId="0" xfId="0" applyFont="1" applyFill="1" applyBorder="1" applyAlignment="1" applyProtection="1">
      <alignment horizontal="center" vertical="center"/>
    </xf>
    <xf numFmtId="0" fontId="38" fillId="2" borderId="0" xfId="0" applyFont="1" applyFill="1" applyBorder="1" applyAlignment="1" applyProtection="1"/>
    <xf numFmtId="0" fontId="39" fillId="2" borderId="0" xfId="0" applyFont="1" applyFill="1"/>
    <xf numFmtId="0" fontId="40" fillId="2" borderId="0" xfId="0" applyFont="1" applyFill="1"/>
    <xf numFmtId="0" fontId="41" fillId="2" borderId="0" xfId="0" applyFont="1" applyFill="1" applyBorder="1" applyAlignment="1" applyProtection="1">
      <alignment horizontal="center" vertical="center"/>
    </xf>
    <xf numFmtId="0" fontId="2" fillId="2" borderId="0" xfId="0" applyFont="1" applyFill="1" applyBorder="1" applyAlignment="1" applyProtection="1"/>
    <xf numFmtId="0" fontId="0" fillId="2" borderId="0" xfId="0" applyFill="1" applyBorder="1" applyAlignment="1" applyProtection="1"/>
    <xf numFmtId="0" fontId="42" fillId="2" borderId="0" xfId="0" applyFont="1" applyFill="1" applyBorder="1" applyAlignment="1" applyProtection="1">
      <alignment horizontal="center" vertical="center"/>
    </xf>
    <xf numFmtId="0" fontId="39" fillId="2" borderId="0" xfId="0" applyFont="1" applyFill="1" applyBorder="1"/>
    <xf numFmtId="0" fontId="2" fillId="2" borderId="0" xfId="0" applyFont="1" applyFill="1" applyBorder="1" applyAlignment="1"/>
    <xf numFmtId="0" fontId="6" fillId="2" borderId="10" xfId="0" applyFont="1" applyFill="1" applyBorder="1" applyAlignment="1" applyProtection="1">
      <alignment horizontal="center" vertical="center"/>
    </xf>
    <xf numFmtId="0" fontId="38" fillId="3" borderId="11" xfId="0" applyNumberFormat="1" applyFont="1" applyFill="1" applyBorder="1" applyAlignment="1" applyProtection="1">
      <alignment horizontal="center" vertical="center"/>
      <protection locked="0"/>
    </xf>
    <xf numFmtId="0" fontId="38" fillId="3" borderId="10" xfId="0" applyNumberFormat="1"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38" fillId="2" borderId="10" xfId="0" applyFont="1" applyFill="1" applyBorder="1" applyAlignment="1">
      <alignment horizontal="center" vertical="center"/>
    </xf>
    <xf numFmtId="0" fontId="38" fillId="2" borderId="0" xfId="0" applyFont="1" applyFill="1" applyBorder="1" applyAlignment="1" applyProtection="1">
      <alignment horizontal="center" vertical="center"/>
    </xf>
    <xf numFmtId="0" fontId="0" fillId="2" borderId="12" xfId="0" applyFill="1" applyBorder="1" applyAlignment="1">
      <alignment horizontal="left" vertical="center" wrapText="1"/>
    </xf>
    <xf numFmtId="0" fontId="39" fillId="2" borderId="0" xfId="0" applyFont="1" applyFill="1" applyBorder="1" applyAlignment="1" applyProtection="1"/>
    <xf numFmtId="0" fontId="39" fillId="2" borderId="1" xfId="0" applyFont="1" applyFill="1" applyBorder="1" applyAlignment="1" applyProtection="1">
      <alignment horizontal="center" vertical="center"/>
    </xf>
    <xf numFmtId="0" fontId="38" fillId="2" borderId="0" xfId="0" applyFont="1" applyFill="1" applyBorder="1"/>
    <xf numFmtId="0" fontId="38" fillId="2" borderId="0" xfId="0" applyFont="1" applyFill="1" applyBorder="1" applyAlignment="1">
      <alignment horizontal="left" vertical="center"/>
    </xf>
    <xf numFmtId="0" fontId="43" fillId="2" borderId="0" xfId="0" applyFont="1" applyFill="1" applyBorder="1" applyAlignment="1">
      <alignment horizontal="left" vertical="center"/>
    </xf>
    <xf numFmtId="0" fontId="13" fillId="4" borderId="13" xfId="0" applyFont="1" applyFill="1" applyBorder="1" applyAlignment="1" applyProtection="1">
      <alignment horizontal="center" vertical="center"/>
    </xf>
    <xf numFmtId="0" fontId="2" fillId="2" borderId="14" xfId="0" applyFont="1" applyFill="1" applyBorder="1" applyAlignment="1" applyProtection="1">
      <alignment horizontal="left" vertical="center"/>
    </xf>
    <xf numFmtId="0" fontId="39" fillId="2" borderId="14" xfId="0" applyFont="1" applyFill="1" applyBorder="1" applyAlignment="1" applyProtection="1">
      <alignment horizontal="left" vertical="center"/>
    </xf>
    <xf numFmtId="0" fontId="2"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44" fillId="2" borderId="16" xfId="0" applyFont="1" applyFill="1" applyBorder="1" applyAlignment="1" applyProtection="1">
      <alignment horizontal="center" vertical="center"/>
    </xf>
    <xf numFmtId="0" fontId="38" fillId="2" borderId="17" xfId="0" applyFont="1" applyFill="1" applyBorder="1" applyAlignment="1" applyProtection="1">
      <alignment horizontal="left" vertical="center"/>
    </xf>
    <xf numFmtId="0" fontId="45" fillId="5" borderId="0" xfId="0" applyFont="1" applyFill="1" applyProtection="1"/>
    <xf numFmtId="0" fontId="45" fillId="5" borderId="0" xfId="0" applyFont="1" applyFill="1" applyBorder="1" applyProtection="1"/>
    <xf numFmtId="0" fontId="39" fillId="5" borderId="0" xfId="0" applyFont="1" applyFill="1" applyProtection="1"/>
    <xf numFmtId="0" fontId="46" fillId="5" borderId="0" xfId="0" applyFont="1" applyFill="1" applyBorder="1" applyProtection="1"/>
    <xf numFmtId="0" fontId="39" fillId="5" borderId="0" xfId="0" applyFont="1" applyFill="1"/>
    <xf numFmtId="0" fontId="2" fillId="5" borderId="0" xfId="0" applyFont="1" applyFill="1" applyBorder="1" applyAlignment="1"/>
    <xf numFmtId="0" fontId="38" fillId="5" borderId="0" xfId="0" applyFont="1" applyFill="1" applyBorder="1" applyAlignment="1" applyProtection="1"/>
    <xf numFmtId="0" fontId="38" fillId="5" borderId="0" xfId="0" applyFont="1" applyFill="1" applyProtection="1"/>
    <xf numFmtId="0" fontId="38" fillId="5" borderId="0" xfId="0" applyFont="1" applyFill="1" applyBorder="1" applyProtection="1"/>
    <xf numFmtId="0" fontId="0" fillId="5" borderId="0" xfId="0" applyFill="1" applyBorder="1" applyAlignment="1" applyProtection="1"/>
    <xf numFmtId="0" fontId="39" fillId="5" borderId="0" xfId="0" applyFont="1" applyFill="1" applyBorder="1" applyAlignment="1" applyProtection="1"/>
    <xf numFmtId="0" fontId="2" fillId="5" borderId="0" xfId="0" applyFont="1" applyFill="1" applyBorder="1" applyAlignment="1" applyProtection="1"/>
    <xf numFmtId="0" fontId="1" fillId="5" borderId="0" xfId="0" applyFont="1" applyFill="1" applyBorder="1" applyAlignment="1" applyProtection="1"/>
    <xf numFmtId="0" fontId="38" fillId="2" borderId="0" xfId="0" applyFont="1" applyFill="1" applyBorder="1" applyAlignment="1" applyProtection="1">
      <alignment horizontal="left" vertical="center"/>
    </xf>
    <xf numFmtId="0" fontId="38" fillId="2" borderId="0" xfId="0" applyFont="1" applyFill="1" applyBorder="1" applyAlignment="1" applyProtection="1">
      <alignment vertical="center"/>
    </xf>
    <xf numFmtId="0" fontId="3" fillId="5" borderId="0" xfId="0" applyFont="1" applyFill="1" applyBorder="1" applyAlignment="1" applyProtection="1">
      <alignment horizontal="right" vertical="center"/>
    </xf>
    <xf numFmtId="0" fontId="2" fillId="5" borderId="0" xfId="0" applyFont="1" applyFill="1" applyBorder="1" applyAlignment="1" applyProtection="1">
      <alignment horizontal="right" vertical="center"/>
    </xf>
    <xf numFmtId="0" fontId="47" fillId="5" borderId="0" xfId="0" applyFont="1" applyFill="1" applyBorder="1" applyAlignment="1" applyProtection="1">
      <alignment horizontal="right" vertical="top"/>
    </xf>
    <xf numFmtId="0" fontId="38" fillId="5" borderId="0" xfId="0" applyFont="1" applyFill="1" applyBorder="1" applyAlignment="1" applyProtection="1">
      <alignment horizontal="left" vertical="center"/>
    </xf>
    <xf numFmtId="0" fontId="38" fillId="5" borderId="0" xfId="0" applyNumberFormat="1" applyFont="1" applyFill="1" applyBorder="1" applyAlignment="1" applyProtection="1">
      <alignment horizontal="center" vertical="center"/>
    </xf>
    <xf numFmtId="0" fontId="43" fillId="5" borderId="0" xfId="0" applyFont="1" applyFill="1" applyBorder="1" applyAlignment="1" applyProtection="1">
      <alignment horizontal="left" vertical="center"/>
    </xf>
    <xf numFmtId="0" fontId="46" fillId="5" borderId="0" xfId="0" applyFont="1" applyFill="1" applyAlignment="1">
      <alignment horizontal="center" vertical="center"/>
    </xf>
    <xf numFmtId="0" fontId="48" fillId="2" borderId="0" xfId="0" applyFont="1" applyFill="1" applyBorder="1" applyAlignment="1">
      <alignment vertical="center"/>
    </xf>
    <xf numFmtId="0" fontId="49" fillId="2" borderId="0" xfId="0" applyFont="1" applyFill="1" applyBorder="1" applyAlignment="1">
      <alignment vertical="center"/>
    </xf>
    <xf numFmtId="0" fontId="3" fillId="3" borderId="11" xfId="0" applyFont="1" applyFill="1" applyBorder="1" applyAlignment="1" applyProtection="1">
      <alignment horizontal="center" vertical="center"/>
      <protection locked="0"/>
    </xf>
    <xf numFmtId="0" fontId="44" fillId="2"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left" vertical="center"/>
    </xf>
    <xf numFmtId="0" fontId="38" fillId="3" borderId="19" xfId="0" applyNumberFormat="1" applyFont="1" applyFill="1" applyBorder="1" applyAlignment="1" applyProtection="1">
      <alignment horizontal="center" vertical="center"/>
      <protection locked="0"/>
    </xf>
    <xf numFmtId="0" fontId="3" fillId="2" borderId="20" xfId="0" applyFont="1" applyFill="1" applyBorder="1" applyAlignment="1" applyProtection="1">
      <alignment horizontal="left"/>
    </xf>
    <xf numFmtId="0" fontId="3" fillId="2" borderId="18" xfId="0" applyFont="1" applyFill="1" applyBorder="1" applyAlignment="1" applyProtection="1">
      <alignment horizontal="center" vertical="center"/>
    </xf>
    <xf numFmtId="0" fontId="38" fillId="2" borderId="20" xfId="0" applyFont="1" applyFill="1" applyBorder="1" applyAlignment="1" applyProtection="1">
      <alignment horizontal="right" vertical="center"/>
    </xf>
    <xf numFmtId="0" fontId="0" fillId="2" borderId="18" xfId="0" applyFill="1" applyBorder="1" applyAlignment="1">
      <alignment horizontal="left" vertical="center" wrapText="1"/>
    </xf>
    <xf numFmtId="0" fontId="38" fillId="2" borderId="20" xfId="0" applyFont="1" applyFill="1" applyBorder="1" applyAlignment="1" applyProtection="1">
      <alignment horizontal="right" vertical="center" indent="1"/>
    </xf>
    <xf numFmtId="0" fontId="38" fillId="2" borderId="18" xfId="0" applyFont="1" applyFill="1" applyBorder="1" applyAlignment="1" applyProtection="1">
      <alignment horizontal="left" vertical="center" indent="1"/>
    </xf>
    <xf numFmtId="2" fontId="3" fillId="2" borderId="20" xfId="0" applyNumberFormat="1" applyFont="1" applyFill="1" applyBorder="1" applyAlignment="1" applyProtection="1">
      <alignment horizontal="right" vertical="center" indent="1"/>
    </xf>
    <xf numFmtId="2" fontId="50" fillId="2" borderId="20" xfId="0" applyNumberFormat="1" applyFont="1" applyFill="1" applyBorder="1" applyAlignment="1" applyProtection="1">
      <alignment vertical="center"/>
    </xf>
    <xf numFmtId="0" fontId="0" fillId="2" borderId="18" xfId="0" applyFont="1" applyFill="1" applyBorder="1" applyAlignment="1">
      <alignment vertical="center"/>
    </xf>
    <xf numFmtId="0" fontId="51" fillId="5" borderId="0" xfId="0" applyFont="1" applyFill="1" applyProtection="1"/>
    <xf numFmtId="2" fontId="51" fillId="5" borderId="0" xfId="0" applyNumberFormat="1" applyFont="1" applyFill="1" applyBorder="1" applyProtection="1"/>
    <xf numFmtId="0" fontId="51" fillId="5" borderId="0" xfId="0" applyFont="1" applyFill="1" applyBorder="1" applyAlignment="1" applyProtection="1">
      <alignment horizontal="center"/>
    </xf>
    <xf numFmtId="0" fontId="52" fillId="5" borderId="0" xfId="0" applyFont="1" applyFill="1" applyBorder="1" applyAlignment="1" applyProtection="1">
      <alignment horizontal="left" vertical="center"/>
    </xf>
    <xf numFmtId="0" fontId="52" fillId="5" borderId="0" xfId="0" applyFont="1" applyFill="1" applyBorder="1" applyProtection="1"/>
    <xf numFmtId="0" fontId="51" fillId="5" borderId="0" xfId="0" applyFont="1" applyFill="1" applyBorder="1" applyProtection="1"/>
    <xf numFmtId="0" fontId="53" fillId="5" borderId="0" xfId="0" applyFont="1" applyFill="1" applyProtection="1"/>
    <xf numFmtId="0" fontId="53" fillId="5" borderId="0" xfId="0" applyFont="1" applyFill="1" applyAlignment="1" applyProtection="1"/>
    <xf numFmtId="0" fontId="53" fillId="5" borderId="0" xfId="0" applyFont="1" applyFill="1" applyBorder="1" applyAlignment="1"/>
    <xf numFmtId="0" fontId="3" fillId="2" borderId="18" xfId="0" applyFont="1" applyFill="1" applyBorder="1" applyAlignment="1" applyProtection="1">
      <alignment horizontal="right" vertical="center"/>
    </xf>
    <xf numFmtId="0" fontId="54" fillId="2" borderId="18" xfId="0" applyFont="1" applyFill="1" applyBorder="1" applyAlignment="1">
      <alignment vertical="center"/>
    </xf>
    <xf numFmtId="0" fontId="39" fillId="2" borderId="21" xfId="0" applyFont="1" applyFill="1" applyBorder="1" applyAlignment="1" applyProtection="1">
      <alignment horizontal="left" vertical="center"/>
    </xf>
    <xf numFmtId="0" fontId="13" fillId="4" borderId="22" xfId="0" applyFont="1" applyFill="1" applyBorder="1" applyAlignment="1" applyProtection="1">
      <alignment horizontal="center" vertical="center"/>
    </xf>
    <xf numFmtId="0" fontId="13" fillId="4" borderId="23"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39" fillId="2" borderId="25" xfId="0" applyFont="1" applyFill="1" applyBorder="1" applyAlignment="1" applyProtection="1">
      <alignment horizontal="center" vertical="center"/>
    </xf>
    <xf numFmtId="0" fontId="39" fillId="2" borderId="20" xfId="0" applyFont="1" applyFill="1" applyBorder="1"/>
    <xf numFmtId="0" fontId="49" fillId="2" borderId="18" xfId="0" applyFont="1" applyFill="1" applyBorder="1" applyAlignment="1" applyProtection="1">
      <alignment vertical="center"/>
    </xf>
    <xf numFmtId="0" fontId="43" fillId="2" borderId="18" xfId="0" applyFont="1" applyFill="1" applyBorder="1" applyAlignment="1" applyProtection="1">
      <alignment horizontal="left" vertical="center"/>
    </xf>
    <xf numFmtId="0" fontId="39" fillId="2" borderId="20" xfId="0" applyFont="1" applyFill="1" applyBorder="1" applyAlignment="1"/>
    <xf numFmtId="0" fontId="2" fillId="2" borderId="20" xfId="0" applyFont="1" applyFill="1" applyBorder="1" applyAlignment="1"/>
    <xf numFmtId="0" fontId="39" fillId="2" borderId="26" xfId="0" applyFont="1" applyFill="1" applyBorder="1"/>
    <xf numFmtId="0" fontId="38" fillId="2" borderId="27" xfId="0" applyFont="1" applyFill="1" applyBorder="1"/>
    <xf numFmtId="0" fontId="38" fillId="2" borderId="27" xfId="0" applyFont="1" applyFill="1" applyBorder="1" applyAlignment="1">
      <alignment vertical="center"/>
    </xf>
    <xf numFmtId="0" fontId="38" fillId="2" borderId="28" xfId="0" applyFont="1" applyFill="1" applyBorder="1" applyAlignment="1" applyProtection="1">
      <alignment vertical="center"/>
    </xf>
    <xf numFmtId="0" fontId="55" fillId="5" borderId="0" xfId="0" applyFont="1" applyFill="1" applyBorder="1" applyAlignment="1" applyProtection="1"/>
    <xf numFmtId="0" fontId="51" fillId="5" borderId="0" xfId="0" applyFont="1" applyFill="1" applyBorder="1" applyAlignment="1" applyProtection="1"/>
    <xf numFmtId="0" fontId="53" fillId="5" borderId="0" xfId="0" applyFont="1" applyFill="1" applyBorder="1" applyAlignment="1" applyProtection="1"/>
    <xf numFmtId="0" fontId="53" fillId="5" borderId="0" xfId="0" applyFont="1" applyFill="1" applyBorder="1"/>
    <xf numFmtId="0" fontId="53" fillId="2" borderId="0" xfId="0" applyFont="1" applyFill="1" applyBorder="1"/>
    <xf numFmtId="0" fontId="8" fillId="2" borderId="10" xfId="0" applyFont="1" applyFill="1" applyBorder="1" applyAlignment="1">
      <alignment horizontal="center" vertical="center"/>
    </xf>
    <xf numFmtId="0" fontId="38" fillId="2" borderId="27" xfId="0" applyFont="1" applyFill="1" applyBorder="1" applyAlignment="1">
      <alignment horizontal="center" vertical="center"/>
    </xf>
    <xf numFmtId="0" fontId="49" fillId="2" borderId="27" xfId="0" applyFont="1" applyFill="1" applyBorder="1" applyAlignment="1">
      <alignment horizontal="center" vertical="center"/>
    </xf>
    <xf numFmtId="0" fontId="38" fillId="2" borderId="27" xfId="0" applyFont="1" applyFill="1" applyBorder="1" applyAlignment="1">
      <alignment horizontal="left" vertical="center"/>
    </xf>
    <xf numFmtId="0" fontId="56" fillId="2" borderId="16" xfId="0" applyFont="1" applyFill="1" applyBorder="1" applyAlignment="1" applyProtection="1">
      <alignment horizontal="center" vertical="center"/>
    </xf>
    <xf numFmtId="0" fontId="56" fillId="2" borderId="16" xfId="0" applyFont="1" applyFill="1" applyBorder="1" applyAlignment="1">
      <alignment horizontal="center" vertical="center"/>
    </xf>
    <xf numFmtId="0" fontId="56" fillId="2" borderId="18" xfId="0" applyFont="1" applyFill="1" applyBorder="1" applyAlignment="1" applyProtection="1">
      <alignment horizontal="center" vertical="center"/>
    </xf>
    <xf numFmtId="0" fontId="56" fillId="2" borderId="18" xfId="0" applyFont="1" applyFill="1" applyBorder="1" applyAlignment="1">
      <alignment horizontal="center" vertical="center"/>
    </xf>
    <xf numFmtId="0" fontId="56" fillId="2" borderId="29" xfId="0" applyFont="1" applyFill="1" applyBorder="1" applyAlignment="1" applyProtection="1">
      <alignment horizontal="center" vertical="center"/>
    </xf>
    <xf numFmtId="0" fontId="57" fillId="2" borderId="20" xfId="0" applyFont="1" applyFill="1" applyBorder="1" applyAlignment="1" applyProtection="1">
      <alignment horizontal="center" vertical="center"/>
    </xf>
    <xf numFmtId="0" fontId="57" fillId="2" borderId="0" xfId="0" applyFont="1" applyFill="1" applyBorder="1" applyAlignment="1" applyProtection="1">
      <alignment horizontal="center" vertical="center"/>
    </xf>
    <xf numFmtId="0" fontId="57" fillId="2" borderId="18" xfId="0" applyFont="1" applyFill="1" applyBorder="1" applyAlignment="1" applyProtection="1">
      <alignment horizontal="center" vertical="center"/>
    </xf>
    <xf numFmtId="0" fontId="57" fillId="2" borderId="26" xfId="0" applyFont="1" applyFill="1" applyBorder="1" applyAlignment="1" applyProtection="1">
      <alignment horizontal="center" vertical="center"/>
    </xf>
    <xf numFmtId="0" fontId="57" fillId="2" borderId="27" xfId="0" applyFont="1" applyFill="1" applyBorder="1" applyAlignment="1" applyProtection="1">
      <alignment horizontal="center" vertical="center"/>
    </xf>
    <xf numFmtId="0" fontId="57" fillId="2" borderId="28" xfId="0" applyFont="1" applyFill="1" applyBorder="1" applyAlignment="1" applyProtection="1">
      <alignment horizontal="center" vertical="center"/>
    </xf>
    <xf numFmtId="0" fontId="30" fillId="2" borderId="30" xfId="0" applyFont="1" applyFill="1" applyBorder="1" applyAlignment="1">
      <alignment horizontal="center" vertical="center" wrapText="1"/>
    </xf>
    <xf numFmtId="0" fontId="0" fillId="2" borderId="31" xfId="0" applyFill="1" applyBorder="1" applyAlignment="1">
      <alignment vertical="center"/>
    </xf>
    <xf numFmtId="0" fontId="58" fillId="2" borderId="0" xfId="0" applyFont="1" applyFill="1" applyAlignment="1">
      <alignment horizontal="center" vertical="center" wrapText="1"/>
    </xf>
    <xf numFmtId="0" fontId="30" fillId="2" borderId="0" xfId="0" applyFont="1" applyFill="1" applyAlignment="1">
      <alignment horizontal="center" vertical="center" wrapText="1"/>
    </xf>
    <xf numFmtId="0" fontId="0" fillId="2" borderId="0" xfId="0" applyFill="1" applyAlignment="1">
      <alignment vertical="center"/>
    </xf>
    <xf numFmtId="0" fontId="0" fillId="2" borderId="32" xfId="0" applyFill="1" applyBorder="1" applyAlignment="1">
      <alignment vertical="center"/>
    </xf>
    <xf numFmtId="0" fontId="0" fillId="2" borderId="33" xfId="0" applyFill="1" applyBorder="1" applyAlignment="1">
      <alignment vertical="center"/>
    </xf>
    <xf numFmtId="0" fontId="48" fillId="2" borderId="0" xfId="0" applyFont="1" applyFill="1" applyAlignment="1">
      <alignment vertical="center"/>
    </xf>
    <xf numFmtId="0" fontId="48" fillId="2" borderId="32" xfId="0" applyFont="1" applyFill="1" applyBorder="1" applyAlignment="1">
      <alignment vertical="center"/>
    </xf>
    <xf numFmtId="0" fontId="40" fillId="2" borderId="33" xfId="0" applyFont="1" applyFill="1" applyBorder="1"/>
    <xf numFmtId="0" fontId="38" fillId="2" borderId="0" xfId="0" applyFont="1" applyFill="1" applyAlignment="1">
      <alignment vertical="center"/>
    </xf>
    <xf numFmtId="0" fontId="38" fillId="2" borderId="0" xfId="0" applyFont="1" applyFill="1"/>
    <xf numFmtId="0" fontId="34" fillId="2" borderId="0" xfId="1" applyFill="1" applyBorder="1" applyProtection="1"/>
    <xf numFmtId="0" fontId="38" fillId="2" borderId="32" xfId="0" applyFont="1" applyFill="1" applyBorder="1"/>
    <xf numFmtId="0" fontId="38" fillId="2" borderId="0" xfId="0" applyFont="1" applyFill="1" applyAlignment="1">
      <alignment horizontal="left" vertical="center"/>
    </xf>
    <xf numFmtId="0" fontId="39" fillId="2" borderId="32" xfId="0" applyFont="1" applyFill="1" applyBorder="1"/>
    <xf numFmtId="0" fontId="40" fillId="2" borderId="34" xfId="0" applyFont="1" applyFill="1" applyBorder="1"/>
    <xf numFmtId="0" fontId="39" fillId="2" borderId="35" xfId="0" applyFont="1" applyFill="1" applyBorder="1"/>
    <xf numFmtId="0" fontId="38" fillId="2" borderId="35" xfId="0" applyFont="1" applyFill="1" applyBorder="1"/>
    <xf numFmtId="0" fontId="53" fillId="2" borderId="36" xfId="0" applyFont="1" applyFill="1" applyBorder="1" applyAlignment="1">
      <alignment horizontal="right"/>
    </xf>
    <xf numFmtId="0" fontId="48" fillId="2" borderId="0" xfId="0" applyFont="1" applyFill="1" applyAlignment="1">
      <alignment horizontal="left" vertical="center" indent="3"/>
    </xf>
    <xf numFmtId="0" fontId="38" fillId="2" borderId="0" xfId="0" applyFont="1" applyFill="1" applyAlignment="1">
      <alignment horizontal="left" vertical="center" indent="3"/>
    </xf>
    <xf numFmtId="0" fontId="38" fillId="2" borderId="0" xfId="0" applyFont="1" applyFill="1" applyAlignment="1">
      <alignment horizontal="left" indent="3"/>
    </xf>
    <xf numFmtId="0" fontId="3" fillId="2" borderId="0" xfId="0" applyFont="1" applyFill="1"/>
    <xf numFmtId="0" fontId="59" fillId="2" borderId="0" xfId="0" applyFont="1" applyFill="1" applyAlignment="1">
      <alignment horizontal="right" vertical="center"/>
    </xf>
    <xf numFmtId="0" fontId="60" fillId="6" borderId="2" xfId="0" applyFont="1" applyFill="1" applyBorder="1"/>
    <xf numFmtId="0" fontId="60" fillId="6" borderId="3" xfId="0" applyFont="1" applyFill="1" applyBorder="1"/>
    <xf numFmtId="0" fontId="60" fillId="6" borderId="4" xfId="0" applyFont="1" applyFill="1" applyBorder="1"/>
    <xf numFmtId="0" fontId="60" fillId="6" borderId="5" xfId="0" applyFont="1" applyFill="1" applyBorder="1"/>
    <xf numFmtId="0" fontId="60" fillId="6" borderId="0" xfId="0" applyFont="1" applyFill="1"/>
    <xf numFmtId="0" fontId="60" fillId="6" borderId="6" xfId="0" applyFont="1" applyFill="1" applyBorder="1"/>
    <xf numFmtId="0" fontId="60" fillId="6" borderId="0" xfId="0" applyFont="1" applyFill="1" applyAlignment="1">
      <alignment horizontal="center" vertical="center"/>
    </xf>
    <xf numFmtId="0" fontId="61" fillId="6" borderId="5" xfId="0" applyFont="1" applyFill="1" applyBorder="1"/>
    <xf numFmtId="0" fontId="62" fillId="6" borderId="0" xfId="1" applyFont="1" applyFill="1" applyBorder="1" applyAlignment="1">
      <alignment horizontal="center" vertical="center"/>
    </xf>
    <xf numFmtId="0" fontId="60" fillId="6" borderId="7" xfId="0" applyFont="1" applyFill="1" applyBorder="1"/>
    <xf numFmtId="0" fontId="60" fillId="6" borderId="8" xfId="0" applyFont="1" applyFill="1" applyBorder="1"/>
    <xf numFmtId="0" fontId="60" fillId="6" borderId="9" xfId="0" applyFont="1" applyFill="1" applyBorder="1"/>
    <xf numFmtId="0" fontId="37" fillId="5" borderId="0" xfId="0" applyFont="1" applyFill="1" applyBorder="1" applyAlignment="1" applyProtection="1"/>
    <xf numFmtId="0" fontId="20" fillId="2" borderId="0" xfId="0" applyFont="1" applyFill="1" applyAlignment="1">
      <alignment horizontal="left" vertical="center" indent="3"/>
    </xf>
    <xf numFmtId="0" fontId="39" fillId="2" borderId="0" xfId="0" applyFont="1" applyFill="1" applyBorder="1" applyAlignment="1"/>
    <xf numFmtId="0" fontId="53" fillId="2" borderId="0" xfId="0" applyFont="1" applyFill="1" applyBorder="1" applyAlignment="1"/>
    <xf numFmtId="0" fontId="32" fillId="2" borderId="0" xfId="0" applyFont="1" applyFill="1" applyBorder="1" applyAlignment="1">
      <alignment horizontal="center" vertical="center"/>
    </xf>
    <xf numFmtId="0" fontId="41" fillId="2" borderId="0" xfId="0" applyFont="1" applyFill="1" applyBorder="1" applyAlignment="1">
      <alignment horizontal="center" vertical="center"/>
    </xf>
    <xf numFmtId="0" fontId="72" fillId="2" borderId="0" xfId="0" applyFont="1" applyFill="1" applyBorder="1" applyAlignment="1">
      <alignment horizontal="center" vertical="center"/>
    </xf>
    <xf numFmtId="0" fontId="72" fillId="2" borderId="0" xfId="0" applyNumberFormat="1" applyFont="1" applyFill="1" applyBorder="1" applyAlignment="1" applyProtection="1">
      <alignment horizontal="center" vertical="center"/>
    </xf>
    <xf numFmtId="0" fontId="72" fillId="2" borderId="0" xfId="0" applyFont="1" applyFill="1" applyBorder="1" applyAlignment="1" applyProtection="1">
      <alignment horizontal="center" vertical="center"/>
    </xf>
    <xf numFmtId="0" fontId="32" fillId="2" borderId="0" xfId="0" applyNumberFormat="1" applyFont="1" applyFill="1" applyBorder="1" applyAlignment="1">
      <alignment horizontal="center" vertical="center"/>
    </xf>
    <xf numFmtId="0" fontId="41" fillId="2" borderId="0" xfId="0" applyFont="1" applyFill="1" applyBorder="1" applyAlignment="1" applyProtection="1">
      <alignment horizontal="center" vertical="center"/>
    </xf>
    <xf numFmtId="0" fontId="32" fillId="2" borderId="0" xfId="0" applyFont="1" applyFill="1" applyBorder="1" applyAlignment="1" applyProtection="1">
      <alignment horizontal="center" vertical="center"/>
    </xf>
    <xf numFmtId="0" fontId="32" fillId="2" borderId="0" xfId="0" applyFont="1" applyFill="1" applyBorder="1" applyAlignment="1">
      <alignment horizontal="center" vertical="center"/>
    </xf>
    <xf numFmtId="0" fontId="32" fillId="2" borderId="0" xfId="0" applyFont="1" applyFill="1" applyBorder="1" applyAlignment="1" applyProtection="1">
      <alignment horizontal="right" vertical="center"/>
    </xf>
    <xf numFmtId="0" fontId="32" fillId="2" borderId="0" xfId="0" applyFont="1" applyFill="1" applyBorder="1" applyAlignment="1" applyProtection="1"/>
    <xf numFmtId="0" fontId="32" fillId="2" borderId="0" xfId="0" applyFont="1" applyFill="1" applyBorder="1" applyProtection="1"/>
    <xf numFmtId="0" fontId="32" fillId="2" borderId="0" xfId="0" applyFont="1" applyFill="1" applyBorder="1"/>
    <xf numFmtId="0" fontId="37" fillId="2" borderId="0" xfId="0" applyFont="1" applyFill="1" applyBorder="1"/>
    <xf numFmtId="0" fontId="32" fillId="2" borderId="0" xfId="0" applyFont="1" applyFill="1" applyBorder="1" applyAlignment="1">
      <alignment horizontal="left" vertical="center"/>
    </xf>
    <xf numFmtId="0" fontId="32" fillId="2" borderId="0" xfId="0" applyNumberFormat="1" applyFont="1" applyFill="1" applyBorder="1" applyAlignment="1" applyProtection="1">
      <alignment horizontal="center" vertical="center"/>
    </xf>
    <xf numFmtId="0" fontId="32" fillId="2" borderId="0" xfId="0" applyNumberFormat="1" applyFont="1" applyFill="1" applyBorder="1" applyAlignment="1" applyProtection="1">
      <alignment horizontal="center" vertical="center"/>
    </xf>
    <xf numFmtId="0" fontId="32" fillId="2" borderId="0" xfId="0" applyNumberFormat="1" applyFont="1" applyFill="1" applyBorder="1" applyAlignment="1">
      <alignment horizontal="center" vertical="center"/>
    </xf>
    <xf numFmtId="0" fontId="41" fillId="2" borderId="0" xfId="0" applyNumberFormat="1" applyFont="1" applyFill="1" applyBorder="1" applyAlignment="1" applyProtection="1">
      <alignment horizontal="center" vertical="center"/>
    </xf>
    <xf numFmtId="0" fontId="32" fillId="2" borderId="0" xfId="2" applyFont="1" applyFill="1" applyBorder="1" applyAlignment="1">
      <alignment vertical="center"/>
    </xf>
    <xf numFmtId="0" fontId="32" fillId="2" borderId="0" xfId="2" applyFont="1" applyFill="1" applyBorder="1" applyAlignment="1">
      <alignment horizontal="center" vertical="center"/>
    </xf>
    <xf numFmtId="0" fontId="32" fillId="2" borderId="0" xfId="0" applyFont="1" applyFill="1" applyBorder="1" applyAlignment="1" applyProtection="1">
      <alignment horizontal="left" vertical="center"/>
    </xf>
    <xf numFmtId="0" fontId="32" fillId="2" borderId="0" xfId="0" applyFont="1" applyFill="1" applyBorder="1" applyAlignment="1" applyProtection="1">
      <alignment vertical="center"/>
    </xf>
    <xf numFmtId="0" fontId="71" fillId="2" borderId="0" xfId="0" applyFont="1" applyFill="1" applyBorder="1" applyAlignment="1" applyProtection="1">
      <alignment horizontal="center" vertical="center"/>
    </xf>
    <xf numFmtId="0" fontId="71" fillId="2" borderId="0" xfId="0" applyFont="1" applyFill="1" applyBorder="1" applyAlignment="1">
      <alignment horizontal="center" vertical="center"/>
    </xf>
    <xf numFmtId="0" fontId="72" fillId="2" borderId="0" xfId="0" applyFont="1" applyFill="1" applyBorder="1" applyAlignment="1" applyProtection="1"/>
    <xf numFmtId="0" fontId="72" fillId="2" borderId="0" xfId="0" applyFont="1" applyFill="1" applyBorder="1" applyProtection="1"/>
    <xf numFmtId="0" fontId="32" fillId="2" borderId="0" xfId="0" applyFont="1" applyFill="1" applyBorder="1" applyAlignment="1" applyProtection="1">
      <alignment horizontal="left"/>
    </xf>
    <xf numFmtId="2" fontId="41" fillId="2" borderId="0" xfId="0" applyNumberFormat="1" applyFont="1" applyFill="1" applyBorder="1" applyAlignment="1">
      <alignment horizontal="center" vertical="center"/>
    </xf>
    <xf numFmtId="2" fontId="32" fillId="2" borderId="0" xfId="0" applyNumberFormat="1" applyFont="1" applyFill="1" applyBorder="1" applyAlignment="1">
      <alignment horizontal="center" vertical="center"/>
    </xf>
    <xf numFmtId="0" fontId="32" fillId="2" borderId="0" xfId="0" applyFont="1" applyFill="1" applyBorder="1" applyAlignment="1">
      <alignment horizontal="right" vertical="center"/>
    </xf>
    <xf numFmtId="0" fontId="32" fillId="2" borderId="0" xfId="0" applyFont="1" applyFill="1" applyBorder="1" applyAlignment="1" applyProtection="1">
      <alignment horizontal="center"/>
    </xf>
    <xf numFmtId="2" fontId="32" fillId="2" borderId="0" xfId="0" applyNumberFormat="1" applyFont="1" applyFill="1" applyBorder="1" applyAlignment="1" applyProtection="1">
      <alignment horizontal="left" vertical="center"/>
    </xf>
    <xf numFmtId="0" fontId="32" fillId="2" borderId="0" xfId="0" applyFont="1" applyFill="1" applyBorder="1" applyAlignment="1">
      <alignment horizontal="left" vertical="center" wrapText="1"/>
    </xf>
    <xf numFmtId="0" fontId="32" fillId="2" borderId="0" xfId="0" applyNumberFormat="1" applyFont="1" applyFill="1" applyBorder="1" applyAlignment="1" applyProtection="1">
      <alignment horizontal="left" vertical="center"/>
    </xf>
    <xf numFmtId="2" fontId="32" fillId="2" borderId="0" xfId="0" applyNumberFormat="1" applyFont="1" applyFill="1" applyBorder="1" applyAlignment="1" applyProtection="1">
      <alignment horizontal="center" vertical="center"/>
    </xf>
    <xf numFmtId="0" fontId="32" fillId="2" borderId="0" xfId="0" applyFont="1" applyFill="1" applyBorder="1" applyAlignment="1" applyProtection="1">
      <alignment vertical="top"/>
    </xf>
    <xf numFmtId="0" fontId="32" fillId="2" borderId="0" xfId="0" applyFont="1" applyFill="1" applyBorder="1" applyAlignment="1" applyProtection="1">
      <alignment horizontal="left" vertical="top"/>
    </xf>
    <xf numFmtId="0" fontId="32" fillId="2" borderId="0" xfId="0" applyFont="1" applyFill="1" applyBorder="1" applyAlignment="1" applyProtection="1">
      <alignment horizontal="left" vertical="center"/>
    </xf>
    <xf numFmtId="2" fontId="74" fillId="2" borderId="0" xfId="0" applyNumberFormat="1" applyFont="1" applyFill="1" applyBorder="1" applyAlignment="1" applyProtection="1">
      <alignment horizontal="right" vertical="center"/>
    </xf>
    <xf numFmtId="0" fontId="32" fillId="2" borderId="0" xfId="0" applyFont="1" applyFill="1" applyBorder="1" applyAlignment="1" applyProtection="1">
      <alignment horizontal="right" vertical="center"/>
    </xf>
    <xf numFmtId="0" fontId="59" fillId="2" borderId="0" xfId="0" applyFont="1" applyFill="1" applyBorder="1" applyAlignment="1" applyProtection="1"/>
    <xf numFmtId="0" fontId="65" fillId="2" borderId="0" xfId="0" applyFont="1" applyFill="1" applyBorder="1" applyAlignment="1" applyProtection="1"/>
    <xf numFmtId="0" fontId="32" fillId="2" borderId="0" xfId="0" applyFont="1" applyFill="1" applyBorder="1" applyAlignment="1">
      <alignment horizontal="center"/>
    </xf>
    <xf numFmtId="0" fontId="65" fillId="2" borderId="0" xfId="0" applyFont="1" applyFill="1" applyBorder="1" applyAlignment="1" applyProtection="1">
      <alignment horizontal="center" vertical="center"/>
    </xf>
    <xf numFmtId="0" fontId="65" fillId="2" borderId="0" xfId="0" applyFont="1" applyFill="1" applyBorder="1" applyAlignment="1">
      <alignment horizontal="center" vertical="center"/>
    </xf>
    <xf numFmtId="0" fontId="32" fillId="2" borderId="0" xfId="0" applyFont="1" applyFill="1" applyBorder="1" applyAlignment="1">
      <alignment vertical="center"/>
    </xf>
    <xf numFmtId="0" fontId="37" fillId="2" borderId="0" xfId="0" applyNumberFormat="1" applyFont="1" applyFill="1" applyBorder="1" applyAlignment="1" applyProtection="1">
      <alignment horizontal="left" vertical="center"/>
    </xf>
    <xf numFmtId="0" fontId="71" fillId="2" borderId="0" xfId="0" applyFont="1" applyFill="1" applyBorder="1" applyAlignment="1" applyProtection="1">
      <alignment horizontal="left" vertical="center"/>
    </xf>
    <xf numFmtId="0" fontId="71" fillId="2" borderId="0" xfId="0" applyFont="1" applyFill="1" applyBorder="1" applyAlignment="1">
      <alignment horizontal="left" vertical="center"/>
    </xf>
    <xf numFmtId="0" fontId="73" fillId="2" borderId="0" xfId="0" applyFont="1" applyFill="1" applyBorder="1" applyAlignment="1">
      <alignment horizontal="left" vertical="center"/>
    </xf>
    <xf numFmtId="0" fontId="65" fillId="2" borderId="0" xfId="0" applyFont="1" applyFill="1" applyBorder="1" applyAlignment="1"/>
    <xf numFmtId="0" fontId="32" fillId="2" borderId="0" xfId="0" applyFont="1" applyFill="1" applyBorder="1" applyAlignment="1"/>
    <xf numFmtId="0" fontId="37" fillId="2" borderId="0" xfId="0" applyFont="1" applyFill="1" applyBorder="1" applyAlignment="1">
      <alignment horizontal="center" vertical="center"/>
    </xf>
    <xf numFmtId="0" fontId="32" fillId="2" borderId="0" xfId="0" applyFont="1" applyFill="1" applyBorder="1" applyAlignment="1">
      <alignment horizontal="right"/>
    </xf>
    <xf numFmtId="0" fontId="65" fillId="2" borderId="0" xfId="0" applyFont="1" applyFill="1" applyBorder="1"/>
    <xf numFmtId="0" fontId="73" fillId="2" borderId="0" xfId="0" applyFont="1" applyFill="1" applyBorder="1" applyAlignment="1">
      <alignment horizontal="center" vertical="center"/>
    </xf>
    <xf numFmtId="0" fontId="37" fillId="2" borderId="0" xfId="0" applyFont="1" applyFill="1" applyBorder="1" applyAlignment="1">
      <alignment horizontal="right" vertical="center"/>
    </xf>
    <xf numFmtId="0" fontId="75" fillId="2" borderId="0" xfId="0" applyFont="1" applyFill="1" applyBorder="1"/>
    <xf numFmtId="0" fontId="8" fillId="2" borderId="20" xfId="0" applyFont="1" applyFill="1" applyBorder="1" applyAlignment="1" applyProtection="1">
      <alignment horizontal="left" vertical="center"/>
    </xf>
    <xf numFmtId="0" fontId="49" fillId="2" borderId="0" xfId="0" applyFont="1" applyFill="1" applyBorder="1" applyAlignment="1">
      <alignment vertical="center"/>
    </xf>
    <xf numFmtId="0" fontId="48" fillId="2" borderId="0" xfId="0" applyFont="1" applyFill="1" applyBorder="1" applyAlignment="1">
      <alignment vertical="center"/>
    </xf>
    <xf numFmtId="0" fontId="9" fillId="2" borderId="0" xfId="0" applyFont="1" applyFill="1" applyBorder="1" applyAlignment="1" applyProtection="1">
      <alignment horizontal="center" vertical="center"/>
    </xf>
    <xf numFmtId="0" fontId="0" fillId="2" borderId="0" xfId="0" applyFill="1" applyBorder="1" applyAlignment="1">
      <alignment vertical="center"/>
    </xf>
    <xf numFmtId="0" fontId="65" fillId="15" borderId="55" xfId="0" applyFont="1" applyFill="1" applyBorder="1" applyAlignment="1" applyProtection="1">
      <alignment horizontal="center"/>
    </xf>
    <xf numFmtId="0" fontId="65" fillId="15" borderId="56" xfId="0" applyFont="1" applyFill="1" applyBorder="1" applyAlignment="1" applyProtection="1">
      <alignment horizontal="center"/>
    </xf>
    <xf numFmtId="0" fontId="65" fillId="15" borderId="57" xfId="0" applyFont="1" applyFill="1" applyBorder="1" applyAlignment="1" applyProtection="1">
      <alignment horizontal="center"/>
    </xf>
    <xf numFmtId="0" fontId="32" fillId="2" borderId="0" xfId="0" applyFont="1" applyFill="1" applyBorder="1" applyAlignment="1">
      <alignment horizontal="center" vertical="center"/>
    </xf>
    <xf numFmtId="0" fontId="22" fillId="2" borderId="20" xfId="0" applyFont="1" applyFill="1" applyBorder="1" applyAlignment="1">
      <alignment horizontal="center" vertical="center" wrapText="1"/>
    </xf>
    <xf numFmtId="0" fontId="66" fillId="0" borderId="0" xfId="0" applyFont="1" applyBorder="1" applyAlignment="1">
      <alignment horizontal="center" vertical="center" wrapText="1"/>
    </xf>
    <xf numFmtId="0" fontId="66" fillId="0" borderId="18" xfId="0" applyFont="1" applyBorder="1" applyAlignment="1">
      <alignment horizontal="center" vertical="center" wrapText="1"/>
    </xf>
    <xf numFmtId="0" fontId="66" fillId="0" borderId="20" xfId="0" applyFont="1" applyBorder="1" applyAlignment="1">
      <alignment horizontal="center" vertical="center" wrapText="1"/>
    </xf>
    <xf numFmtId="0" fontId="22" fillId="2" borderId="0"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66" fillId="0" borderId="51" xfId="0" applyFont="1" applyBorder="1" applyAlignment="1">
      <alignment horizontal="center" vertical="center" wrapText="1"/>
    </xf>
    <xf numFmtId="0" fontId="66" fillId="0" borderId="12" xfId="0" applyFont="1" applyBorder="1" applyAlignment="1">
      <alignment horizontal="center" vertical="center" wrapText="1"/>
    </xf>
    <xf numFmtId="0" fontId="66" fillId="0" borderId="52" xfId="0" applyFont="1" applyBorder="1" applyAlignment="1">
      <alignment horizontal="center" vertical="center" wrapText="1"/>
    </xf>
    <xf numFmtId="0" fontId="41" fillId="2" borderId="0" xfId="0" applyFont="1" applyFill="1" applyBorder="1" applyAlignment="1" applyProtection="1">
      <alignment horizontal="center" vertical="center"/>
    </xf>
    <xf numFmtId="0" fontId="41" fillId="2" borderId="0" xfId="0" applyFont="1" applyFill="1" applyBorder="1" applyAlignment="1">
      <alignment horizontal="center" vertical="center"/>
    </xf>
    <xf numFmtId="0" fontId="41" fillId="2" borderId="0" xfId="0" applyFont="1" applyFill="1" applyBorder="1" applyAlignment="1"/>
    <xf numFmtId="0" fontId="32" fillId="2" borderId="0" xfId="0" applyFont="1" applyFill="1" applyBorder="1" applyAlignment="1"/>
    <xf numFmtId="0" fontId="3" fillId="2" borderId="20" xfId="0" applyFont="1" applyFill="1" applyBorder="1" applyAlignment="1" applyProtection="1">
      <alignment horizontal="left" vertical="center"/>
    </xf>
    <xf numFmtId="0" fontId="38" fillId="2" borderId="0" xfId="0" applyFont="1" applyFill="1" applyBorder="1" applyAlignment="1">
      <alignment vertical="center"/>
    </xf>
    <xf numFmtId="0" fontId="1" fillId="2" borderId="0" xfId="0" applyFont="1" applyFill="1" applyBorder="1" applyAlignment="1" applyProtection="1">
      <alignment horizontal="center" vertical="center"/>
    </xf>
    <xf numFmtId="0" fontId="69" fillId="2" borderId="0" xfId="0" applyFont="1" applyFill="1" applyBorder="1" applyAlignment="1">
      <alignment vertical="center"/>
    </xf>
    <xf numFmtId="0" fontId="70" fillId="15" borderId="20" xfId="1" applyFont="1" applyFill="1" applyBorder="1" applyAlignment="1" applyProtection="1">
      <alignment horizontal="center"/>
    </xf>
    <xf numFmtId="0" fontId="70" fillId="15" borderId="0" xfId="0" applyFont="1" applyFill="1" applyBorder="1" applyAlignment="1" applyProtection="1">
      <alignment horizontal="center"/>
    </xf>
    <xf numFmtId="0" fontId="70" fillId="15" borderId="18" xfId="0" applyFont="1" applyFill="1" applyBorder="1" applyAlignment="1" applyProtection="1">
      <alignment horizontal="center"/>
    </xf>
    <xf numFmtId="0" fontId="70" fillId="15" borderId="26" xfId="1" applyFont="1" applyFill="1" applyBorder="1" applyAlignment="1" applyProtection="1">
      <alignment horizontal="center" vertical="top"/>
    </xf>
    <xf numFmtId="0" fontId="70" fillId="15" borderId="27" xfId="1" applyFont="1" applyFill="1" applyBorder="1" applyAlignment="1" applyProtection="1">
      <alignment horizontal="center" vertical="top"/>
    </xf>
    <xf numFmtId="0" fontId="70" fillId="15" borderId="28" xfId="1" applyFont="1" applyFill="1" applyBorder="1" applyAlignment="1" applyProtection="1">
      <alignment horizontal="center" vertical="top"/>
    </xf>
    <xf numFmtId="0" fontId="34" fillId="2" borderId="0" xfId="1" applyFill="1" applyBorder="1" applyAlignment="1" applyProtection="1">
      <alignment horizontal="center" vertical="center"/>
    </xf>
    <xf numFmtId="0" fontId="48" fillId="0" borderId="32" xfId="0" applyFont="1" applyBorder="1" applyAlignment="1">
      <alignment horizontal="center" vertical="center"/>
    </xf>
    <xf numFmtId="0" fontId="3" fillId="2" borderId="59" xfId="0" applyFont="1" applyFill="1" applyBorder="1" applyAlignment="1" applyProtection="1">
      <alignment horizontal="left" vertical="center"/>
    </xf>
    <xf numFmtId="0" fontId="0" fillId="2" borderId="60" xfId="0" applyFill="1" applyBorder="1" applyAlignment="1">
      <alignment horizontal="left" vertical="center"/>
    </xf>
    <xf numFmtId="0" fontId="0" fillId="2" borderId="61" xfId="0" applyFill="1" applyBorder="1" applyAlignment="1">
      <alignment horizontal="left" vertical="center"/>
    </xf>
    <xf numFmtId="0" fontId="39" fillId="2" borderId="0" xfId="0" applyFont="1" applyFill="1" applyBorder="1" applyAlignment="1">
      <alignment horizontal="left" vertical="center"/>
    </xf>
    <xf numFmtId="0" fontId="39" fillId="2" borderId="16" xfId="0" applyFont="1" applyFill="1" applyBorder="1" applyAlignment="1">
      <alignment horizontal="left" vertical="center"/>
    </xf>
    <xf numFmtId="0" fontId="47" fillId="2" borderId="62" xfId="0" applyFont="1" applyFill="1" applyBorder="1" applyAlignment="1" applyProtection="1">
      <alignment horizontal="right" vertical="center"/>
    </xf>
    <xf numFmtId="0" fontId="0" fillId="0" borderId="63" xfId="0" applyBorder="1" applyAlignment="1">
      <alignment vertical="center"/>
    </xf>
    <xf numFmtId="0" fontId="0" fillId="0" borderId="64" xfId="0" applyBorder="1" applyAlignment="1">
      <alignment vertical="center"/>
    </xf>
    <xf numFmtId="2" fontId="3" fillId="3" borderId="53" xfId="0" applyNumberFormat="1" applyFont="1" applyFill="1" applyBorder="1" applyAlignment="1" applyProtection="1">
      <alignment vertical="center"/>
      <protection locked="0"/>
    </xf>
    <xf numFmtId="0" fontId="3" fillId="3" borderId="54" xfId="0" applyFont="1" applyFill="1" applyBorder="1" applyAlignment="1" applyProtection="1">
      <alignment vertical="center"/>
      <protection locked="0"/>
    </xf>
    <xf numFmtId="0" fontId="71" fillId="2" borderId="0" xfId="0" applyFont="1" applyFill="1" applyBorder="1" applyAlignment="1">
      <alignment horizontal="center" vertical="center"/>
    </xf>
    <xf numFmtId="0" fontId="73" fillId="2" borderId="0" xfId="0" applyFont="1" applyFill="1" applyBorder="1" applyAlignment="1">
      <alignment vertical="center"/>
    </xf>
    <xf numFmtId="2" fontId="10" fillId="14" borderId="46" xfId="0" applyNumberFormat="1" applyFont="1" applyFill="1" applyBorder="1" applyAlignment="1" applyProtection="1">
      <alignment horizontal="center" vertical="center"/>
    </xf>
    <xf numFmtId="0" fontId="2" fillId="14" borderId="47" xfId="0" applyFont="1" applyFill="1" applyBorder="1" applyAlignment="1"/>
    <xf numFmtId="0" fontId="2" fillId="14" borderId="50" xfId="0" applyFont="1" applyFill="1" applyBorder="1" applyAlignment="1"/>
    <xf numFmtId="0" fontId="39" fillId="2" borderId="0" xfId="0" applyFont="1" applyFill="1" applyBorder="1" applyAlignment="1"/>
    <xf numFmtId="0" fontId="39" fillId="2" borderId="16" xfId="0" applyFont="1" applyFill="1" applyBorder="1" applyAlignment="1"/>
    <xf numFmtId="0" fontId="38" fillId="2" borderId="20" xfId="0" applyFont="1" applyFill="1" applyBorder="1" applyAlignment="1" applyProtection="1">
      <alignment horizontal="center" wrapText="1"/>
    </xf>
    <xf numFmtId="0" fontId="0" fillId="0" borderId="0" xfId="0" applyAlignment="1">
      <alignment horizontal="center" wrapText="1"/>
    </xf>
    <xf numFmtId="0" fontId="0" fillId="0" borderId="18" xfId="0" applyBorder="1" applyAlignment="1">
      <alignment horizontal="center" wrapText="1"/>
    </xf>
    <xf numFmtId="0" fontId="0" fillId="0" borderId="20" xfId="0" applyBorder="1" applyAlignment="1">
      <alignment horizontal="center" wrapText="1"/>
    </xf>
    <xf numFmtId="49" fontId="72" fillId="2" borderId="0" xfId="0" applyNumberFormat="1" applyFont="1" applyFill="1" applyBorder="1" applyAlignment="1" applyProtection="1">
      <alignment horizontal="center" vertical="center"/>
    </xf>
    <xf numFmtId="0" fontId="32" fillId="2" borderId="0" xfId="0" applyFont="1" applyFill="1" applyBorder="1" applyAlignment="1">
      <alignment vertical="center"/>
    </xf>
    <xf numFmtId="0" fontId="0" fillId="2" borderId="16" xfId="0" applyFill="1" applyBorder="1" applyAlignment="1">
      <alignment vertical="center"/>
    </xf>
    <xf numFmtId="0" fontId="72" fillId="2" borderId="0" xfId="0" applyFont="1" applyFill="1" applyBorder="1" applyAlignment="1" applyProtection="1">
      <alignment horizontal="center" vertical="center"/>
    </xf>
    <xf numFmtId="0" fontId="72" fillId="2" borderId="0" xfId="0" applyFont="1" applyFill="1" applyBorder="1" applyAlignment="1">
      <alignment horizontal="center" vertical="center"/>
    </xf>
    <xf numFmtId="0" fontId="67" fillId="2" borderId="20" xfId="0" applyFont="1" applyFill="1" applyBorder="1" applyAlignment="1">
      <alignment horizontal="center" vertical="center" wrapText="1"/>
    </xf>
    <xf numFmtId="0" fontId="68" fillId="0" borderId="0" xfId="0" applyFont="1" applyBorder="1" applyAlignment="1">
      <alignment horizontal="center" vertical="center" wrapText="1"/>
    </xf>
    <xf numFmtId="0" fontId="68" fillId="0" borderId="18" xfId="0" applyFont="1" applyBorder="1" applyAlignment="1">
      <alignment horizontal="center" vertical="center" wrapText="1"/>
    </xf>
    <xf numFmtId="0" fontId="68" fillId="0" borderId="20" xfId="0" applyFont="1" applyBorder="1" applyAlignment="1">
      <alignment horizontal="center" vertical="center" wrapText="1"/>
    </xf>
    <xf numFmtId="2" fontId="3" fillId="2" borderId="20" xfId="0" applyNumberFormat="1" applyFont="1" applyFill="1" applyBorder="1" applyAlignment="1" applyProtection="1">
      <alignment horizontal="left" vertical="center"/>
    </xf>
    <xf numFmtId="0" fontId="11" fillId="5" borderId="0" xfId="0" applyFont="1" applyFill="1" applyAlignment="1" applyProtection="1">
      <alignment vertical="center"/>
    </xf>
    <xf numFmtId="0" fontId="12" fillId="5" borderId="0" xfId="0" applyFont="1" applyFill="1" applyAlignment="1">
      <alignment vertical="center"/>
    </xf>
    <xf numFmtId="0" fontId="65" fillId="5" borderId="0" xfId="0" applyFont="1" applyFill="1" applyAlignment="1">
      <alignment horizontal="center"/>
    </xf>
    <xf numFmtId="2" fontId="10" fillId="13" borderId="46" xfId="0" applyNumberFormat="1" applyFont="1" applyFill="1" applyBorder="1" applyAlignment="1" applyProtection="1">
      <alignment horizontal="center" vertical="center"/>
    </xf>
    <xf numFmtId="0" fontId="10" fillId="13" borderId="47" xfId="0" applyFont="1" applyFill="1" applyBorder="1" applyAlignment="1" applyProtection="1">
      <alignment horizontal="center"/>
    </xf>
    <xf numFmtId="0" fontId="10" fillId="13" borderId="48" xfId="0" applyFont="1" applyFill="1" applyBorder="1" applyAlignment="1" applyProtection="1">
      <alignment horizontal="center"/>
    </xf>
    <xf numFmtId="0" fontId="3" fillId="2" borderId="20" xfId="0" applyFont="1" applyFill="1" applyBorder="1" applyAlignment="1" applyProtection="1"/>
    <xf numFmtId="0" fontId="0" fillId="0" borderId="0" xfId="0" applyBorder="1" applyAlignment="1"/>
    <xf numFmtId="0" fontId="0" fillId="0" borderId="16" xfId="0" applyBorder="1" applyAlignment="1"/>
    <xf numFmtId="0" fontId="65" fillId="11" borderId="55" xfId="0" applyFont="1" applyFill="1" applyBorder="1" applyAlignment="1">
      <alignment horizontal="center"/>
    </xf>
    <xf numFmtId="0" fontId="65" fillId="11" borderId="56" xfId="0" applyFont="1" applyFill="1" applyBorder="1" applyAlignment="1">
      <alignment horizontal="center"/>
    </xf>
    <xf numFmtId="0" fontId="65" fillId="11" borderId="57" xfId="0" applyFont="1" applyFill="1" applyBorder="1" applyAlignment="1">
      <alignment horizontal="center"/>
    </xf>
    <xf numFmtId="0" fontId="0" fillId="0" borderId="0" xfId="0" applyBorder="1" applyAlignment="1">
      <alignment vertical="center"/>
    </xf>
    <xf numFmtId="0" fontId="0" fillId="0" borderId="17" xfId="0" applyBorder="1" applyAlignment="1">
      <alignment vertical="center"/>
    </xf>
    <xf numFmtId="0" fontId="47" fillId="2" borderId="26" xfId="0" applyFont="1" applyFill="1" applyBorder="1" applyAlignment="1" applyProtection="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0" fontId="13" fillId="2" borderId="58" xfId="0" applyFont="1" applyFill="1" applyBorder="1" applyAlignment="1" applyProtection="1">
      <alignment horizontal="left" vertical="center"/>
    </xf>
    <xf numFmtId="0" fontId="36" fillId="2" borderId="14" xfId="0" applyFont="1" applyFill="1" applyBorder="1" applyAlignment="1">
      <alignment vertical="center"/>
    </xf>
    <xf numFmtId="0" fontId="40" fillId="13" borderId="20" xfId="0" applyFont="1" applyFill="1" applyBorder="1" applyAlignment="1">
      <alignment horizontal="center" vertical="center"/>
    </xf>
    <xf numFmtId="0" fontId="40" fillId="13" borderId="0" xfId="0" applyFont="1" applyFill="1" applyBorder="1" applyAlignment="1">
      <alignment horizontal="center" vertical="center"/>
    </xf>
    <xf numFmtId="0" fontId="40" fillId="13" borderId="18" xfId="0" applyFont="1" applyFill="1" applyBorder="1" applyAlignment="1">
      <alignment horizontal="center" vertical="center"/>
    </xf>
    <xf numFmtId="0" fontId="47" fillId="2" borderId="20" xfId="0" applyFont="1" applyFill="1" applyBorder="1" applyAlignment="1" applyProtection="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0" xfId="0" applyFont="1" applyBorder="1" applyAlignment="1">
      <alignment horizontal="left" vertical="center"/>
    </xf>
    <xf numFmtId="0" fontId="38" fillId="2" borderId="20" xfId="0" applyFont="1" applyFill="1" applyBorder="1" applyAlignment="1" applyProtection="1"/>
    <xf numFmtId="0" fontId="0" fillId="0" borderId="18" xfId="0" applyBorder="1" applyAlignment="1"/>
    <xf numFmtId="2" fontId="10" fillId="2" borderId="20" xfId="0" applyNumberFormat="1" applyFont="1" applyFill="1" applyBorder="1" applyAlignment="1" applyProtection="1">
      <alignment horizontal="center" vertical="center"/>
    </xf>
    <xf numFmtId="0" fontId="0" fillId="2" borderId="0" xfId="0" applyFill="1" applyBorder="1" applyAlignment="1">
      <alignment horizontal="center" vertical="center"/>
    </xf>
    <xf numFmtId="0" fontId="0" fillId="2" borderId="18" xfId="0" applyFill="1" applyBorder="1" applyAlignment="1">
      <alignment horizontal="center" vertical="center"/>
    </xf>
    <xf numFmtId="0" fontId="63" fillId="2" borderId="20" xfId="0" applyFont="1" applyFill="1" applyBorder="1" applyAlignment="1" applyProtection="1">
      <alignment horizontal="center" vertical="center"/>
    </xf>
    <xf numFmtId="0" fontId="64" fillId="2" borderId="0" xfId="0" applyFont="1" applyFill="1" applyBorder="1" applyAlignment="1">
      <alignment horizontal="center" vertical="center"/>
    </xf>
    <xf numFmtId="0" fontId="33" fillId="0" borderId="18" xfId="0" applyFont="1" applyBorder="1" applyAlignment="1">
      <alignment vertical="center"/>
    </xf>
    <xf numFmtId="2" fontId="10" fillId="2" borderId="20" xfId="0" applyNumberFormat="1" applyFont="1" applyFill="1" applyBorder="1" applyAlignment="1" applyProtection="1">
      <alignment horizontal="center" vertical="top"/>
    </xf>
    <xf numFmtId="0" fontId="0" fillId="2" borderId="0" xfId="0" applyFill="1" applyBorder="1" applyAlignment="1">
      <alignment horizontal="center" vertical="top"/>
    </xf>
    <xf numFmtId="0" fontId="0" fillId="2" borderId="18" xfId="0" applyFill="1" applyBorder="1" applyAlignment="1">
      <alignment horizontal="center" vertical="top"/>
    </xf>
    <xf numFmtId="0" fontId="32" fillId="11" borderId="51" xfId="1" applyFont="1" applyFill="1" applyBorder="1" applyAlignment="1">
      <alignment horizontal="center" vertical="center"/>
    </xf>
    <xf numFmtId="0" fontId="32" fillId="11" borderId="12" xfId="1" applyFont="1" applyFill="1" applyBorder="1" applyAlignment="1">
      <alignment horizontal="center" vertical="center"/>
    </xf>
    <xf numFmtId="0" fontId="32" fillId="11" borderId="52" xfId="1" applyFont="1" applyFill="1" applyBorder="1" applyAlignment="1">
      <alignment horizontal="center" vertical="center"/>
    </xf>
    <xf numFmtId="2" fontId="10" fillId="12" borderId="46" xfId="0" applyNumberFormat="1" applyFont="1" applyFill="1" applyBorder="1" applyAlignment="1" applyProtection="1">
      <alignment horizontal="center" vertical="center"/>
    </xf>
    <xf numFmtId="0" fontId="2" fillId="12" borderId="47" xfId="0" applyFont="1" applyFill="1" applyBorder="1" applyAlignment="1"/>
    <xf numFmtId="0" fontId="2" fillId="12" borderId="48" xfId="0" applyFont="1" applyFill="1" applyBorder="1" applyAlignment="1"/>
    <xf numFmtId="0" fontId="65" fillId="2" borderId="20" xfId="0" applyFont="1" applyFill="1" applyBorder="1" applyAlignment="1" applyProtection="1">
      <alignment horizontal="center"/>
    </xf>
    <xf numFmtId="0" fontId="65" fillId="2" borderId="0" xfId="0" applyFont="1" applyFill="1" applyBorder="1" applyAlignment="1" applyProtection="1">
      <alignment horizontal="center"/>
    </xf>
    <xf numFmtId="0" fontId="65" fillId="2" borderId="18" xfId="0" applyFont="1" applyFill="1" applyBorder="1" applyAlignment="1" applyProtection="1">
      <alignment horizontal="center"/>
    </xf>
    <xf numFmtId="0" fontId="32" fillId="2" borderId="0" xfId="0" applyNumberFormat="1" applyFont="1" applyFill="1" applyBorder="1" applyAlignment="1" applyProtection="1">
      <alignment horizontal="center" vertical="center"/>
    </xf>
    <xf numFmtId="0" fontId="32" fillId="2" borderId="0" xfId="0" applyNumberFormat="1" applyFont="1" applyFill="1" applyBorder="1" applyAlignment="1">
      <alignment horizontal="center" vertical="center"/>
    </xf>
    <xf numFmtId="0" fontId="32" fillId="2" borderId="0" xfId="0" applyFont="1" applyFill="1" applyBorder="1" applyAlignment="1" applyProtection="1">
      <alignment horizontal="center" vertical="center"/>
    </xf>
    <xf numFmtId="2" fontId="32" fillId="2" borderId="0" xfId="0" applyNumberFormat="1" applyFont="1" applyFill="1" applyBorder="1" applyAlignment="1" applyProtection="1">
      <alignment horizontal="right" vertical="center"/>
    </xf>
    <xf numFmtId="0" fontId="32" fillId="2" borderId="0" xfId="0" applyFont="1" applyFill="1" applyBorder="1" applyAlignment="1" applyProtection="1">
      <alignment horizontal="right" vertical="center"/>
    </xf>
    <xf numFmtId="2" fontId="74" fillId="2" borderId="0" xfId="0" applyNumberFormat="1" applyFont="1" applyFill="1" applyBorder="1" applyAlignment="1" applyProtection="1">
      <alignment horizontal="right" vertical="center"/>
    </xf>
    <xf numFmtId="0" fontId="37" fillId="2" borderId="0" xfId="0" applyFont="1" applyFill="1" applyBorder="1" applyAlignment="1" applyProtection="1">
      <alignment horizontal="center" vertical="center"/>
    </xf>
    <xf numFmtId="0" fontId="42" fillId="2" borderId="0" xfId="0" applyFont="1" applyFill="1" applyBorder="1" applyAlignment="1" applyProtection="1">
      <alignment horizontal="center" vertical="center" textRotation="90"/>
    </xf>
    <xf numFmtId="0" fontId="42" fillId="2" borderId="0" xfId="0" applyFont="1" applyFill="1" applyBorder="1" applyAlignment="1">
      <alignment horizontal="center" vertical="center" textRotation="90"/>
    </xf>
    <xf numFmtId="0" fontId="32" fillId="2" borderId="0" xfId="0" applyFont="1" applyFill="1" applyBorder="1" applyAlignment="1" applyProtection="1">
      <alignment horizontal="left" vertical="center"/>
    </xf>
    <xf numFmtId="0" fontId="32" fillId="2" borderId="0" xfId="0" applyFont="1" applyFill="1" applyBorder="1" applyAlignment="1">
      <alignment horizontal="left" vertical="center"/>
    </xf>
    <xf numFmtId="0" fontId="10" fillId="8" borderId="46" xfId="0" applyFont="1" applyFill="1" applyBorder="1" applyAlignment="1" applyProtection="1">
      <alignment horizontal="center" vertical="center"/>
    </xf>
    <xf numFmtId="0" fontId="0" fillId="8" borderId="47" xfId="0" applyFill="1" applyBorder="1" applyAlignment="1"/>
    <xf numFmtId="0" fontId="0" fillId="8" borderId="48" xfId="0" applyFill="1" applyBorder="1" applyAlignment="1"/>
    <xf numFmtId="0" fontId="10" fillId="9" borderId="49" xfId="0" applyFont="1" applyFill="1" applyBorder="1" applyAlignment="1" applyProtection="1">
      <alignment horizontal="center" vertical="center"/>
    </xf>
    <xf numFmtId="0" fontId="7" fillId="9" borderId="50" xfId="0" applyFont="1" applyFill="1" applyBorder="1" applyAlignment="1"/>
    <xf numFmtId="0" fontId="10" fillId="10" borderId="49" xfId="0" applyFont="1" applyFill="1" applyBorder="1" applyAlignment="1" applyProtection="1">
      <alignment horizontal="center" vertical="center"/>
    </xf>
    <xf numFmtId="0" fontId="7" fillId="10" borderId="48" xfId="0" applyFont="1" applyFill="1" applyBorder="1" applyAlignment="1"/>
    <xf numFmtId="0" fontId="0" fillId="2" borderId="0" xfId="0" applyFill="1" applyBorder="1" applyAlignment="1">
      <alignment horizontal="left" vertical="center"/>
    </xf>
    <xf numFmtId="0" fontId="0" fillId="2" borderId="16" xfId="0" applyFill="1" applyBorder="1" applyAlignment="1">
      <alignment horizontal="left" vertical="center"/>
    </xf>
    <xf numFmtId="0" fontId="26" fillId="7" borderId="37" xfId="0" applyFont="1" applyFill="1" applyBorder="1" applyAlignment="1">
      <alignment horizontal="center" vertical="center" wrapText="1"/>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3" fillId="3" borderId="11" xfId="0" applyFont="1" applyFill="1" applyBorder="1" applyAlignment="1" applyProtection="1">
      <alignment horizontal="center" vertical="center"/>
      <protection locked="0"/>
    </xf>
    <xf numFmtId="0" fontId="48" fillId="3" borderId="11" xfId="0" applyFont="1" applyFill="1" applyBorder="1" applyAlignment="1" applyProtection="1">
      <alignment horizontal="center" vertical="center"/>
      <protection locked="0"/>
    </xf>
    <xf numFmtId="0" fontId="29" fillId="7" borderId="45" xfId="0" applyFont="1" applyFill="1" applyBorder="1" applyAlignment="1">
      <alignment horizontal="center" vertical="center" wrapText="1"/>
    </xf>
    <xf numFmtId="0" fontId="29" fillId="7" borderId="30" xfId="0" applyFont="1" applyFill="1" applyBorder="1" applyAlignment="1">
      <alignment horizontal="center" vertical="center" wrapText="1"/>
    </xf>
    <xf numFmtId="0" fontId="29" fillId="7" borderId="33" xfId="0" applyFont="1" applyFill="1" applyBorder="1" applyAlignment="1">
      <alignment horizontal="center" vertical="center" wrapText="1"/>
    </xf>
    <xf numFmtId="0" fontId="29" fillId="7" borderId="0" xfId="0" applyFont="1" applyFill="1" applyBorder="1" applyAlignment="1">
      <alignment horizontal="center" vertical="center" wrapText="1"/>
    </xf>
    <xf numFmtId="0" fontId="71" fillId="2" borderId="0" xfId="0" applyFont="1" applyFill="1" applyBorder="1" applyAlignment="1" applyProtection="1">
      <alignment horizontal="center" vertical="center"/>
    </xf>
    <xf numFmtId="0" fontId="32" fillId="2" borderId="0" xfId="0" applyFont="1" applyFill="1" applyBorder="1" applyAlignment="1">
      <alignment horizontal="left"/>
    </xf>
    <xf numFmtId="0" fontId="37" fillId="2" borderId="0" xfId="0" applyFont="1" applyFill="1" applyBorder="1" applyAlignment="1">
      <alignment horizontal="center"/>
    </xf>
    <xf numFmtId="0" fontId="32" fillId="2" borderId="0" xfId="0" applyFont="1" applyFill="1" applyBorder="1" applyAlignment="1" applyProtection="1">
      <alignment horizontal="center" vertical="center" wrapText="1"/>
    </xf>
  </cellXfs>
  <cellStyles count="3">
    <cellStyle name="Lien hypertexte" xfId="1" builtinId="8"/>
    <cellStyle name="Normal" xfId="0" builtinId="0"/>
    <cellStyle name="Normal 2" xfId="2" xr:uid="{A98368A2-C652-4870-8A4B-C411E64851A8}"/>
  </cellStyles>
  <dxfs count="102">
    <dxf>
      <fill>
        <patternFill>
          <bgColor theme="9" tint="0.79998168889431442"/>
        </patternFill>
      </fill>
    </dxf>
    <dxf>
      <font>
        <color theme="1" tint="0.499984740745262"/>
      </font>
      <fill>
        <patternFill>
          <bgColor theme="1" tint="0.499984740745262"/>
        </patternFill>
      </fill>
    </dxf>
    <dxf>
      <fill>
        <patternFill>
          <bgColor theme="9" tint="0.79998168889431442"/>
        </patternFill>
      </fill>
    </dxf>
    <dxf>
      <font>
        <b/>
        <i val="0"/>
        <color theme="7" tint="-0.24994659260841701"/>
      </font>
    </dxf>
    <dxf>
      <font>
        <b/>
        <i val="0"/>
        <color rgb="FFFF0000"/>
      </font>
    </dxf>
    <dxf>
      <font>
        <color theme="0"/>
      </font>
      <fill>
        <patternFill>
          <bgColor theme="0"/>
        </patternFill>
      </fill>
    </dxf>
    <dxf>
      <font>
        <b/>
        <i val="0"/>
        <color theme="7" tint="-0.24994659260841701"/>
      </font>
    </dxf>
    <dxf>
      <font>
        <b/>
        <i val="0"/>
        <color rgb="FFFF0000"/>
      </font>
    </dxf>
    <dxf>
      <font>
        <color theme="0"/>
      </font>
      <fill>
        <patternFill>
          <bgColor theme="0"/>
        </patternFill>
      </fill>
    </dxf>
    <dxf>
      <font>
        <b/>
        <i val="0"/>
        <color theme="7" tint="-0.24994659260841701"/>
      </font>
    </dxf>
    <dxf>
      <font>
        <b/>
        <i val="0"/>
        <color rgb="FFFF0000"/>
      </font>
    </dxf>
    <dxf>
      <font>
        <b/>
        <i val="0"/>
        <color theme="7" tint="-0.24994659260841701"/>
      </font>
    </dxf>
    <dxf>
      <font>
        <b/>
        <i val="0"/>
        <color rgb="FFFF0000"/>
      </font>
    </dxf>
    <dxf>
      <font>
        <b/>
        <i val="0"/>
        <color theme="7" tint="-0.24994659260841701"/>
      </font>
    </dxf>
    <dxf>
      <font>
        <b/>
        <i val="0"/>
        <color rgb="FFFF0000"/>
      </font>
    </dxf>
    <dxf>
      <font>
        <b/>
        <i val="0"/>
        <color theme="7" tint="-0.24994659260841701"/>
      </font>
    </dxf>
    <dxf>
      <font>
        <b/>
        <i val="0"/>
        <color rgb="FFFF0000"/>
      </font>
    </dxf>
    <dxf>
      <font>
        <b/>
        <i val="0"/>
        <color theme="7" tint="-0.24994659260841701"/>
      </font>
    </dxf>
    <dxf>
      <font>
        <b/>
        <i val="0"/>
        <color rgb="FFFF0000"/>
      </font>
    </dxf>
    <dxf>
      <fill>
        <patternFill>
          <bgColor theme="7" tint="0.79998168889431442"/>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5" tint="0.59996337778862885"/>
        </patternFill>
      </fill>
    </dxf>
    <dxf>
      <fill>
        <patternFill>
          <bgColor rgb="FFFFFF00"/>
        </patternFill>
      </fill>
    </dxf>
    <dxf>
      <font>
        <color theme="7" tint="-0.24994659260841701"/>
      </font>
    </dxf>
    <dxf>
      <font>
        <color rgb="FFFF0000"/>
      </font>
    </dxf>
    <dxf>
      <font>
        <color theme="0"/>
      </font>
      <fill>
        <patternFill>
          <bgColor theme="0"/>
        </patternFill>
      </fill>
    </dxf>
    <dxf>
      <font>
        <color theme="7" tint="-0.24994659260841701"/>
      </font>
      <fill>
        <patternFill>
          <bgColor theme="0"/>
        </patternFill>
      </fill>
    </dxf>
    <dxf>
      <font>
        <color rgb="FFFF0000"/>
      </font>
    </dxf>
    <dxf>
      <font>
        <color theme="0"/>
      </font>
      <fill>
        <patternFill>
          <bgColor theme="0"/>
        </patternFill>
      </fill>
    </dxf>
    <dxf>
      <fill>
        <patternFill>
          <bgColor theme="6" tint="0.79998168889431442"/>
        </patternFill>
      </fill>
    </dxf>
    <dxf>
      <font>
        <b/>
        <i val="0"/>
        <color theme="0"/>
      </font>
      <fill>
        <patternFill>
          <bgColor theme="0" tint="-0.499984740745262"/>
        </patternFill>
      </fill>
    </dxf>
    <dxf>
      <font>
        <b/>
        <i val="0"/>
        <color theme="7" tint="-0.24994659260841701"/>
      </font>
    </dxf>
    <dxf>
      <font>
        <b/>
        <i val="0"/>
        <color rgb="FFFF0000"/>
      </font>
    </dxf>
    <dxf>
      <fill>
        <patternFill>
          <bgColor theme="9" tint="0.79998168889431442"/>
        </patternFill>
      </fill>
    </dxf>
    <dxf>
      <fill>
        <patternFill>
          <bgColor theme="8" tint="0.79998168889431442"/>
        </patternFill>
      </fill>
    </dxf>
    <dxf>
      <fill>
        <patternFill>
          <bgColor theme="8" tint="0.79998168889431442"/>
        </patternFill>
      </fill>
    </dxf>
    <dxf>
      <fill>
        <patternFill>
          <bgColor rgb="FFFFFF00"/>
        </patternFill>
      </fill>
    </dxf>
    <dxf>
      <font>
        <color theme="0"/>
      </font>
    </dxf>
    <dxf>
      <fill>
        <patternFill>
          <bgColor theme="0" tint="-4.9989318521683403E-2"/>
        </patternFill>
      </fill>
    </dxf>
    <dxf>
      <font>
        <b/>
        <i val="0"/>
        <color theme="0"/>
      </font>
      <fill>
        <patternFill>
          <bgColor rgb="FF00B050"/>
        </patternFill>
      </fill>
    </dxf>
    <dxf>
      <font>
        <b/>
        <i val="0"/>
        <color theme="0"/>
      </font>
      <fill>
        <patternFill>
          <bgColor rgb="FF00B050"/>
        </patternFill>
      </fill>
    </dxf>
    <dxf>
      <font>
        <b/>
        <i val="0"/>
        <color theme="0"/>
      </font>
      <fill>
        <patternFill>
          <bgColor theme="8" tint="-0.24994659260841701"/>
        </patternFill>
      </fill>
    </dxf>
    <dxf>
      <font>
        <b/>
        <i val="0"/>
        <color theme="7" tint="-0.24994659260841701"/>
      </font>
    </dxf>
    <dxf>
      <font>
        <b/>
        <i val="0"/>
        <color rgb="FFFF0000"/>
      </font>
    </dxf>
    <dxf>
      <font>
        <b/>
        <i val="0"/>
        <color theme="7" tint="-0.24994659260841701"/>
      </font>
    </dxf>
    <dxf>
      <font>
        <b/>
        <i val="0"/>
        <color rgb="FFFF0000"/>
      </font>
    </dxf>
    <dxf>
      <font>
        <b/>
        <i val="0"/>
        <color theme="7" tint="-0.24994659260841701"/>
      </font>
    </dxf>
    <dxf>
      <font>
        <b/>
        <i val="0"/>
        <color rgb="FFFF0000"/>
      </font>
    </dxf>
    <dxf>
      <font>
        <color theme="0"/>
      </font>
      <fill>
        <patternFill>
          <bgColor theme="0"/>
        </patternFill>
      </fill>
    </dxf>
    <dxf>
      <font>
        <b/>
        <i val="0"/>
        <color theme="7" tint="-0.24994659260841701"/>
      </font>
    </dxf>
    <dxf>
      <font>
        <b/>
        <i val="0"/>
        <color rgb="FFFF0000"/>
      </font>
    </dxf>
    <dxf>
      <font>
        <color theme="0"/>
      </font>
      <fill>
        <patternFill>
          <bgColor theme="0"/>
        </patternFill>
      </fill>
    </dxf>
    <dxf>
      <font>
        <b/>
        <i val="0"/>
        <color theme="7" tint="-0.24994659260841701"/>
      </font>
    </dxf>
    <dxf>
      <font>
        <b/>
        <i val="0"/>
        <color rgb="FFFF0000"/>
      </font>
    </dxf>
    <dxf>
      <font>
        <color theme="0"/>
      </font>
      <fill>
        <patternFill>
          <bgColor theme="0"/>
        </patternFill>
      </fill>
    </dxf>
    <dxf>
      <font>
        <b/>
        <i val="0"/>
        <color theme="7" tint="-0.24994659260841701"/>
      </font>
    </dxf>
    <dxf>
      <font>
        <b/>
        <i val="0"/>
        <color rgb="FFFF0000"/>
      </font>
    </dxf>
    <dxf>
      <font>
        <color theme="0"/>
      </font>
      <fill>
        <patternFill>
          <bgColor theme="0"/>
        </patternFill>
      </fill>
    </dxf>
    <dxf>
      <font>
        <b/>
        <i val="0"/>
        <color theme="7" tint="-0.24994659260841701"/>
      </font>
    </dxf>
    <dxf>
      <font>
        <b/>
        <i val="0"/>
        <color rgb="FFFF0000"/>
      </font>
    </dxf>
    <dxf>
      <font>
        <b/>
        <i val="0"/>
        <color theme="7" tint="-0.24994659260841701"/>
      </font>
    </dxf>
    <dxf>
      <font>
        <b/>
        <i val="0"/>
        <color rgb="FFFF0000"/>
      </font>
    </dxf>
    <dxf>
      <font>
        <b/>
        <i val="0"/>
        <color theme="7" tint="-0.24994659260841701"/>
      </font>
    </dxf>
    <dxf>
      <font>
        <b/>
        <i val="0"/>
        <color rgb="FFFF0000"/>
      </font>
    </dxf>
    <dxf>
      <font>
        <b/>
        <i val="0"/>
        <color theme="7" tint="-0.24994659260841701"/>
      </font>
    </dxf>
    <dxf>
      <font>
        <b/>
        <i val="0"/>
        <color rgb="FFFF0000"/>
      </font>
    </dxf>
    <dxf>
      <font>
        <b/>
        <i val="0"/>
        <color theme="7" tint="-0.24994659260841701"/>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dxf>
    <dxf>
      <font>
        <color theme="0"/>
      </font>
    </dxf>
    <dxf>
      <font>
        <b/>
        <i val="0"/>
        <color rgb="FFFF0000"/>
      </font>
    </dxf>
    <dxf>
      <font>
        <color theme="0"/>
      </font>
    </dxf>
    <dxf>
      <font>
        <color theme="0"/>
      </font>
      <fill>
        <patternFill>
          <bgColor theme="0"/>
        </patternFill>
      </fill>
    </dxf>
    <dxf>
      <font>
        <color theme="0"/>
      </font>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1" tint="0.499984740745262"/>
      </font>
      <fill>
        <patternFill>
          <bgColor theme="1" tint="0.499984740745262"/>
        </patternFill>
      </fill>
    </dxf>
    <dxf>
      <fill>
        <patternFill>
          <bgColor theme="9" tint="0.79998168889431442"/>
        </patternFill>
      </fill>
    </dxf>
    <dxf>
      <fill>
        <patternFill>
          <bgColor theme="9" tint="0.79998168889431442"/>
        </patternFill>
      </fill>
    </dxf>
    <dxf>
      <fill>
        <patternFill>
          <bgColor theme="9" tint="0.79998168889431442"/>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unegamelleautop.fr/" TargetMode="External"/><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33251</xdr:colOff>
      <xdr:row>1</xdr:row>
      <xdr:rowOff>41564</xdr:rowOff>
    </xdr:from>
    <xdr:to>
      <xdr:col>1</xdr:col>
      <xdr:colOff>1446415</xdr:colOff>
      <xdr:row>4</xdr:row>
      <xdr:rowOff>199505</xdr:rowOff>
    </xdr:to>
    <xdr:pic>
      <xdr:nvPicPr>
        <xdr:cNvPr id="69345" name="Image 7">
          <a:extLst>
            <a:ext uri="{FF2B5EF4-FFF2-40B4-BE49-F238E27FC236}">
              <a16:creationId xmlns:a16="http://schemas.microsoft.com/office/drawing/2014/main" id="{A9465609-B451-B607-537F-789A84B31C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6389" r="11099"/>
        <a:stretch>
          <a:fillRect/>
        </a:stretch>
      </xdr:blipFill>
      <xdr:spPr bwMode="auto">
        <a:xfrm>
          <a:off x="74815" y="141316"/>
          <a:ext cx="1413163" cy="881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972589</xdr:colOff>
      <xdr:row>1</xdr:row>
      <xdr:rowOff>49876</xdr:rowOff>
    </xdr:from>
    <xdr:to>
      <xdr:col>11</xdr:col>
      <xdr:colOff>1363287</xdr:colOff>
      <xdr:row>4</xdr:row>
      <xdr:rowOff>216131</xdr:rowOff>
    </xdr:to>
    <xdr:pic>
      <xdr:nvPicPr>
        <xdr:cNvPr id="69346" name="Image 8">
          <a:extLst>
            <a:ext uri="{FF2B5EF4-FFF2-40B4-BE49-F238E27FC236}">
              <a16:creationId xmlns:a16="http://schemas.microsoft.com/office/drawing/2014/main" id="{2DADB333-16A1-310B-B09E-7BBF20307E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386" t="11667" r="5046" b="16666"/>
        <a:stretch>
          <a:fillRect/>
        </a:stretch>
      </xdr:blipFill>
      <xdr:spPr bwMode="auto">
        <a:xfrm>
          <a:off x="13125796" y="149629"/>
          <a:ext cx="1920240" cy="889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457200</xdr:colOff>
      <xdr:row>46</xdr:row>
      <xdr:rowOff>157942</xdr:rowOff>
    </xdr:from>
    <xdr:to>
      <xdr:col>11</xdr:col>
      <xdr:colOff>1088967</xdr:colOff>
      <xdr:row>49</xdr:row>
      <xdr:rowOff>290945</xdr:rowOff>
    </xdr:to>
    <xdr:pic>
      <xdr:nvPicPr>
        <xdr:cNvPr id="69347" name="Image 12" descr="http://www.unegamelleautop.fr">
          <a:hlinkClick xmlns:r="http://schemas.openxmlformats.org/officeDocument/2006/relationships" r:id="rId3"/>
          <a:extLst>
            <a:ext uri="{FF2B5EF4-FFF2-40B4-BE49-F238E27FC236}">
              <a16:creationId xmlns:a16="http://schemas.microsoft.com/office/drawing/2014/main" id="{ECE5DC45-E80E-EDEE-617B-644A2571460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610407" y="13707687"/>
          <a:ext cx="2161309" cy="108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374073</xdr:colOff>
      <xdr:row>49</xdr:row>
      <xdr:rowOff>66502</xdr:rowOff>
    </xdr:from>
    <xdr:to>
      <xdr:col>4</xdr:col>
      <xdr:colOff>182880</xdr:colOff>
      <xdr:row>57</xdr:row>
      <xdr:rowOff>16625</xdr:rowOff>
    </xdr:to>
    <xdr:pic>
      <xdr:nvPicPr>
        <xdr:cNvPr id="69348" name="Image 13" descr="http://www.unegamelleautop.fr">
          <a:hlinkClick xmlns:r="http://schemas.openxmlformats.org/officeDocument/2006/relationships" r:id="rId3"/>
          <a:extLst>
            <a:ext uri="{FF2B5EF4-FFF2-40B4-BE49-F238E27FC236}">
              <a16:creationId xmlns:a16="http://schemas.microsoft.com/office/drawing/2014/main" id="{845424E0-BF8E-DDCA-9552-5F7EA30B18E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5636" y="14563898"/>
          <a:ext cx="4073237" cy="2477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schemeClr>
        </a:solidFill>
        <a:ln>
          <a:solidFill>
            <a:schemeClr val="accent1"/>
          </a:solidFill>
        </a:ln>
      </a:spPr>
      <a:bodyPr vertOverflow="clip" horzOverflow="clip" rtlCol="0" anchor="t"/>
      <a:lstStyle>
        <a:defPPr algn="l">
          <a:defRPr sz="1100" b="0" i="0" u="none" strike="noStrike">
            <a:solidFill>
              <a:srgbClr val="000000"/>
            </a:solidFill>
            <a:latin typeface="Calibri"/>
            <a:ea typeface="Gill Sans" charset="0"/>
            <a:cs typeface="Calibri"/>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fediaf.org/" TargetMode="External"/><Relationship Id="rId7" Type="http://schemas.openxmlformats.org/officeDocument/2006/relationships/hyperlink" Target="https://www.unegamelleautop.fr/" TargetMode="External"/><Relationship Id="rId2" Type="http://schemas.openxmlformats.org/officeDocument/2006/relationships/hyperlink" Target="http://www.fediaf.org/" TargetMode="External"/><Relationship Id="rId1" Type="http://schemas.openxmlformats.org/officeDocument/2006/relationships/hyperlink" Target="https://www.facco.fr/" TargetMode="External"/><Relationship Id="rId6" Type="http://schemas.openxmlformats.org/officeDocument/2006/relationships/hyperlink" Target="http://www.unegamelleautop.fr/" TargetMode="External"/><Relationship Id="rId5" Type="http://schemas.openxmlformats.org/officeDocument/2006/relationships/hyperlink" Target="https://www.unegamelleautop.fr/" TargetMode="External"/><Relationship Id="rId4" Type="http://schemas.openxmlformats.org/officeDocument/2006/relationships/hyperlink" Target="https://www.facebook.com/ToutSavoirSurAlimentationChienChat/"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B26C2-2BB1-46CD-9ED3-A96C8B30D00D}">
  <sheetPr codeName="Feuil1"/>
  <dimension ref="A1:BZ203"/>
  <sheetViews>
    <sheetView tabSelected="1" zoomScale="80" zoomScaleNormal="80" zoomScaleSheetLayoutView="70" workbookViewId="0">
      <selection activeCell="C15" sqref="C15"/>
    </sheetView>
  </sheetViews>
  <sheetFormatPr baseColWidth="10" defaultRowHeight="18.350000000000001"/>
  <cols>
    <col min="1" max="1" width="0.5546875" style="5" customWidth="1"/>
    <col min="2" max="2" width="19.6640625" style="6" customWidth="1"/>
    <col min="3" max="3" width="19.6640625" style="5" customWidth="1"/>
    <col min="4" max="4" width="17.6640625" style="5" customWidth="1"/>
    <col min="5" max="5" width="2.6640625" style="5" customWidth="1"/>
    <col min="6" max="12" width="20.44140625" style="5" customWidth="1"/>
    <col min="13" max="16" width="15.6640625" style="101" customWidth="1"/>
    <col min="17" max="17" width="15.6640625" style="11" customWidth="1"/>
    <col min="18" max="22" width="15.6640625" style="11" hidden="1" customWidth="1"/>
    <col min="23" max="23" width="15.6640625" style="213" hidden="1" customWidth="1"/>
    <col min="24" max="24" width="27.44140625" style="170" hidden="1" customWidth="1"/>
    <col min="25" max="25" width="25.33203125" style="170" hidden="1" customWidth="1"/>
    <col min="26" max="26" width="42.5546875" style="170" hidden="1" customWidth="1"/>
    <col min="27" max="27" width="15.6640625" style="170" hidden="1" customWidth="1"/>
    <col min="28" max="28" width="20.109375" style="170" hidden="1" customWidth="1"/>
    <col min="29" max="29" width="15.6640625" style="170" hidden="1" customWidth="1"/>
    <col min="30" max="30" width="12.6640625" style="170" hidden="1" customWidth="1"/>
    <col min="31" max="31" width="10.6640625" style="170" hidden="1" customWidth="1"/>
    <col min="32" max="32" width="34.33203125" style="170" hidden="1" customWidth="1"/>
    <col min="33" max="33" width="25.6640625" style="170" hidden="1" customWidth="1"/>
    <col min="34" max="34" width="27.44140625" style="170" hidden="1" customWidth="1"/>
    <col min="35" max="36" width="12.6640625" style="170" hidden="1" customWidth="1"/>
    <col min="37" max="38" width="17.77734375" style="170" hidden="1" customWidth="1"/>
    <col min="39" max="40" width="10.6640625" style="170" hidden="1" customWidth="1"/>
    <col min="41" max="41" width="68.5546875" style="170" hidden="1" customWidth="1"/>
    <col min="42" max="42" width="6.6640625" style="170" hidden="1" customWidth="1"/>
    <col min="43" max="43" width="11.5546875" style="170" hidden="1" customWidth="1"/>
    <col min="44" max="44" width="40.6640625" style="170" hidden="1" customWidth="1"/>
    <col min="45" max="45" width="22.6640625" style="170" hidden="1" customWidth="1"/>
    <col min="46" max="46" width="11.5546875" style="170" hidden="1" customWidth="1"/>
    <col min="47" max="47" width="36.88671875" style="170" hidden="1" customWidth="1"/>
    <col min="48" max="48" width="5.33203125" style="170" hidden="1" customWidth="1"/>
    <col min="49" max="49" width="73.44140625" style="170" hidden="1" customWidth="1"/>
    <col min="50" max="51" width="14.5546875" style="170" hidden="1" customWidth="1"/>
    <col min="52" max="52" width="13.21875" style="170" hidden="1" customWidth="1"/>
    <col min="53" max="55" width="11.5546875" style="170" hidden="1" customWidth="1"/>
    <col min="56" max="56" width="35.77734375" style="170" hidden="1" customWidth="1"/>
    <col min="57" max="64" width="11.5546875" style="170" hidden="1" customWidth="1"/>
    <col min="65" max="65" width="40.77734375" style="170" hidden="1" customWidth="1"/>
    <col min="66" max="69" width="11.5546875" style="170" hidden="1" customWidth="1"/>
    <col min="70" max="78" width="11.5546875" style="1" hidden="1" customWidth="1"/>
    <col min="79" max="16384" width="11.5546875" style="1"/>
  </cols>
  <sheetData>
    <row r="1" spans="1:65" ht="8.0500000000000007" customHeight="1">
      <c r="A1" s="34"/>
      <c r="B1" s="282"/>
      <c r="C1" s="283"/>
      <c r="D1" s="283"/>
      <c r="E1" s="283"/>
      <c r="F1" s="283"/>
      <c r="G1" s="283"/>
      <c r="H1" s="283"/>
      <c r="I1" s="34"/>
      <c r="J1" s="34"/>
      <c r="K1" s="34"/>
      <c r="L1" s="34"/>
      <c r="M1" s="97"/>
      <c r="N1" s="97"/>
      <c r="O1" s="97"/>
      <c r="P1" s="97"/>
      <c r="Q1" s="43"/>
      <c r="R1" s="5"/>
      <c r="S1" s="5"/>
      <c r="T1" s="5"/>
      <c r="U1" s="5"/>
      <c r="V1" s="5"/>
      <c r="W1" s="168"/>
      <c r="X1" s="158"/>
      <c r="Y1" s="168"/>
      <c r="Z1" s="168"/>
      <c r="AA1" s="168"/>
      <c r="AB1" s="168"/>
      <c r="AC1" s="272" t="s">
        <v>53</v>
      </c>
      <c r="AD1" s="273"/>
      <c r="AE1" s="273"/>
      <c r="AF1" s="162">
        <f>$I$13</f>
        <v>0</v>
      </c>
      <c r="AG1" s="162">
        <f>$K$13</f>
        <v>0</v>
      </c>
      <c r="AH1" s="169"/>
      <c r="AI1" s="169"/>
      <c r="AL1" s="169"/>
      <c r="BA1" s="158"/>
    </row>
    <row r="2" spans="1:65" ht="19" customHeight="1">
      <c r="A2" s="34"/>
      <c r="B2" s="349" t="s">
        <v>426</v>
      </c>
      <c r="C2" s="350"/>
      <c r="D2" s="350"/>
      <c r="E2" s="350"/>
      <c r="F2" s="350"/>
      <c r="G2" s="350"/>
      <c r="H2" s="350"/>
      <c r="I2" s="350"/>
      <c r="J2" s="350"/>
      <c r="K2" s="350"/>
      <c r="L2" s="351"/>
      <c r="M2" s="97"/>
      <c r="N2" s="97"/>
      <c r="O2" s="97"/>
      <c r="P2" s="97"/>
      <c r="Q2" s="43"/>
      <c r="R2" s="5"/>
      <c r="S2" s="5"/>
      <c r="T2" s="5"/>
      <c r="U2" s="5"/>
      <c r="V2" s="5"/>
      <c r="W2" s="168"/>
      <c r="X2" s="158"/>
      <c r="Y2" s="261" t="s">
        <v>344</v>
      </c>
      <c r="Z2" s="262"/>
      <c r="AA2" s="2"/>
      <c r="AB2" s="165"/>
      <c r="AC2" s="272" t="s">
        <v>86</v>
      </c>
      <c r="AD2" s="273"/>
      <c r="AE2" s="273"/>
      <c r="AF2" s="162">
        <f>($I$9*3)+($I$10*8)+($Z$11*3)</f>
        <v>0</v>
      </c>
      <c r="AG2" s="162">
        <f>($K$9*3)+($K$10*8)+($Z$12*3)</f>
        <v>0</v>
      </c>
      <c r="AH2" s="169"/>
      <c r="AI2" s="169"/>
      <c r="AJ2" s="171" t="s">
        <v>386</v>
      </c>
      <c r="AK2" s="171"/>
      <c r="AL2" s="169"/>
      <c r="AO2" s="236" t="s">
        <v>341</v>
      </c>
      <c r="AP2" s="236"/>
      <c r="AQ2" s="236"/>
      <c r="AR2" s="236"/>
      <c r="AS2" s="236"/>
      <c r="AT2" s="236"/>
      <c r="AU2" s="236"/>
      <c r="AV2" s="236"/>
      <c r="AW2" s="225"/>
      <c r="AX2" s="225"/>
      <c r="AY2" s="225"/>
      <c r="BD2" s="236" t="s">
        <v>201</v>
      </c>
      <c r="BE2" s="236"/>
      <c r="BF2" s="236"/>
      <c r="BG2" s="236"/>
      <c r="BH2" s="236"/>
      <c r="BI2" s="236"/>
      <c r="BJ2" s="236"/>
      <c r="BK2" s="236"/>
      <c r="BL2" s="236"/>
      <c r="BM2" s="236"/>
    </row>
    <row r="3" spans="1:65" ht="19" customHeight="1">
      <c r="A3" s="34"/>
      <c r="B3" s="352"/>
      <c r="C3" s="353"/>
      <c r="D3" s="353"/>
      <c r="E3" s="353"/>
      <c r="F3" s="353"/>
      <c r="G3" s="353"/>
      <c r="H3" s="353"/>
      <c r="I3" s="353"/>
      <c r="J3" s="353"/>
      <c r="K3" s="353"/>
      <c r="L3" s="354"/>
      <c r="M3" s="97"/>
      <c r="N3" s="97"/>
      <c r="O3" s="97"/>
      <c r="P3" s="97"/>
      <c r="Q3" s="43"/>
      <c r="R3" s="140"/>
      <c r="S3" s="5"/>
      <c r="T3" s="5"/>
      <c r="U3" s="5"/>
      <c r="V3" s="5"/>
      <c r="W3" s="168"/>
      <c r="X3" s="169"/>
      <c r="Y3" s="172" t="s">
        <v>135</v>
      </c>
      <c r="Z3" s="172">
        <f>IF($I$19&gt;0,ROUNDDOWN($I$9/$I$19,1),0)</f>
        <v>0</v>
      </c>
      <c r="AA3" s="173"/>
      <c r="AB3" s="174"/>
      <c r="AC3" s="272" t="s">
        <v>168</v>
      </c>
      <c r="AD3" s="273"/>
      <c r="AE3" s="273"/>
      <c r="AF3" s="162">
        <f>($I$9*4)+($I$10*9)+($Z$11*4)</f>
        <v>0</v>
      </c>
      <c r="AG3" s="162">
        <f>($K$9*4)+($K$10*9)+($Z$12*4)</f>
        <v>0</v>
      </c>
      <c r="AH3" s="169"/>
      <c r="AI3" s="169"/>
      <c r="AJ3" s="170" t="s">
        <v>387</v>
      </c>
      <c r="AK3" s="170">
        <f>ROUND((5.7*$I$9)+(9.4*$I$10)+(4.1*($I$11+$I$14)),3)</f>
        <v>0</v>
      </c>
      <c r="AL3" s="169"/>
      <c r="AO3" s="331" t="s">
        <v>0</v>
      </c>
      <c r="AP3" s="225"/>
      <c r="AR3" s="329" t="s">
        <v>1</v>
      </c>
      <c r="AS3" s="330"/>
      <c r="AU3" s="331" t="s">
        <v>5</v>
      </c>
      <c r="AV3" s="225"/>
      <c r="AW3" s="225"/>
      <c r="AX3" s="158" t="s">
        <v>104</v>
      </c>
      <c r="AY3" s="158" t="s">
        <v>103</v>
      </c>
      <c r="AZ3" s="158" t="s">
        <v>402</v>
      </c>
      <c r="BD3" s="2" t="s">
        <v>202</v>
      </c>
      <c r="BE3" s="158" t="s">
        <v>203</v>
      </c>
      <c r="BF3" s="158" t="s">
        <v>180</v>
      </c>
      <c r="BG3" s="158" t="s">
        <v>181</v>
      </c>
      <c r="BH3" s="158" t="s">
        <v>182</v>
      </c>
      <c r="BI3" s="158" t="s">
        <v>183</v>
      </c>
      <c r="BJ3" s="158" t="s">
        <v>184</v>
      </c>
      <c r="BK3" s="158" t="s">
        <v>204</v>
      </c>
      <c r="BL3" s="158" t="s">
        <v>205</v>
      </c>
      <c r="BM3" s="158" t="s">
        <v>206</v>
      </c>
    </row>
    <row r="4" spans="1:65" ht="19" customHeight="1" thickBot="1">
      <c r="A4" s="35"/>
      <c r="B4" s="352"/>
      <c r="C4" s="353"/>
      <c r="D4" s="353"/>
      <c r="E4" s="353"/>
      <c r="F4" s="353"/>
      <c r="G4" s="353"/>
      <c r="H4" s="353"/>
      <c r="I4" s="353"/>
      <c r="J4" s="353"/>
      <c r="K4" s="353"/>
      <c r="L4" s="354"/>
      <c r="M4" s="97"/>
      <c r="N4" s="97"/>
      <c r="O4" s="97"/>
      <c r="P4" s="97"/>
      <c r="Q4" s="43"/>
      <c r="R4" s="140"/>
      <c r="S4" s="5"/>
      <c r="T4" s="5"/>
      <c r="U4" s="5"/>
      <c r="V4" s="5"/>
      <c r="W4" s="168"/>
      <c r="X4" s="169"/>
      <c r="Y4" s="172" t="s">
        <v>136</v>
      </c>
      <c r="Z4" s="172">
        <f>IF($K$19&gt;0,ROUNDDOWN($K$9/$K$19,1),0)</f>
        <v>0</v>
      </c>
      <c r="AA4" s="10"/>
      <c r="AB4" s="176"/>
      <c r="AC4" s="272" t="s">
        <v>169</v>
      </c>
      <c r="AD4" s="273"/>
      <c r="AE4" s="273"/>
      <c r="AF4" s="162">
        <f>($I$9*3.5)+($I$10*8.5)+($Z$11*3.5)</f>
        <v>0</v>
      </c>
      <c r="AG4" s="162">
        <f>($K$9*3.5)+($K$10*8.5)+($Z$12*3.5)</f>
        <v>0</v>
      </c>
      <c r="AH4" s="169"/>
      <c r="AI4" s="169"/>
      <c r="AJ4" s="170" t="s">
        <v>388</v>
      </c>
      <c r="AK4" s="170">
        <f>IF(AK3&gt;0,ROUND(87.9-(0.88*$J$11),3),0)</f>
        <v>0</v>
      </c>
      <c r="AL4" s="169"/>
      <c r="AO4" s="177" t="s">
        <v>82</v>
      </c>
      <c r="AP4" s="178">
        <v>1</v>
      </c>
      <c r="AR4" s="179" t="s">
        <v>397</v>
      </c>
      <c r="AS4" s="2">
        <v>0.9</v>
      </c>
      <c r="AU4" s="180" t="s">
        <v>6</v>
      </c>
      <c r="AV4" s="2">
        <v>1</v>
      </c>
      <c r="AW4" s="2" t="s">
        <v>288</v>
      </c>
      <c r="AX4" s="2">
        <v>3.97</v>
      </c>
      <c r="AY4" s="2">
        <v>5</v>
      </c>
      <c r="AZ4" s="158">
        <v>0</v>
      </c>
      <c r="BD4" s="158" t="s">
        <v>207</v>
      </c>
      <c r="BE4" s="158">
        <v>200</v>
      </c>
      <c r="BF4" s="158">
        <v>19</v>
      </c>
      <c r="BG4" s="158">
        <v>14.1</v>
      </c>
      <c r="BH4" s="158">
        <v>0.2</v>
      </c>
      <c r="BI4" s="158">
        <v>0.85</v>
      </c>
      <c r="BJ4" s="158">
        <v>0</v>
      </c>
      <c r="BK4" s="158">
        <v>12.7</v>
      </c>
      <c r="BL4" s="158">
        <v>170</v>
      </c>
      <c r="BM4" s="172" t="s">
        <v>208</v>
      </c>
    </row>
    <row r="5" spans="1:65" ht="19" customHeight="1">
      <c r="A5" s="35"/>
      <c r="B5" s="355"/>
      <c r="C5" s="356"/>
      <c r="D5" s="356"/>
      <c r="E5" s="356"/>
      <c r="F5" s="356"/>
      <c r="G5" s="356"/>
      <c r="H5" s="356"/>
      <c r="I5" s="356"/>
      <c r="J5" s="356"/>
      <c r="K5" s="356"/>
      <c r="L5" s="357"/>
      <c r="M5" s="97"/>
      <c r="N5" s="97"/>
      <c r="O5" s="97"/>
      <c r="P5" s="97"/>
      <c r="Q5" s="43"/>
      <c r="R5" s="140"/>
      <c r="S5" s="142"/>
      <c r="T5" s="143"/>
      <c r="U5" s="144"/>
      <c r="V5" s="5"/>
      <c r="W5" s="168"/>
      <c r="X5" s="169"/>
      <c r="Y5" s="159" t="s">
        <v>383</v>
      </c>
      <c r="Z5" s="160" t="str">
        <f>"-$Z$75 dans la formule depuis v3.0"</f>
        <v>-$Z$75 dans la formule depuis v3.0</v>
      </c>
      <c r="AA5" s="160">
        <f>IF($Z$21=3,($I$16*$L$23/100)+($K$16*$L$24/100),0)</f>
        <v>0</v>
      </c>
      <c r="AB5" s="174"/>
      <c r="AC5" s="275" t="s">
        <v>362</v>
      </c>
      <c r="AD5" s="275"/>
      <c r="AE5" s="275"/>
      <c r="AF5" s="160">
        <f>ROUNDDOWN(IF($I$11&gt;8,$AF$2,IF($AF$1&gt;20,$AF$3,$AF$4)),0)</f>
        <v>0</v>
      </c>
      <c r="AG5" s="160">
        <f>ROUNDDOWN(IF($K$11&gt;8,$AG$2,IF($AG$1&gt;20,$AG$3,$AG$4)),0)</f>
        <v>0</v>
      </c>
      <c r="AH5" s="169"/>
      <c r="AI5" s="169"/>
      <c r="AJ5" s="170" t="s">
        <v>389</v>
      </c>
      <c r="AK5" s="170">
        <f>ROUND((AK3*AK4)/100,3)</f>
        <v>0</v>
      </c>
      <c r="AL5" s="169"/>
      <c r="AO5" s="177" t="s">
        <v>306</v>
      </c>
      <c r="AP5" s="178">
        <v>1</v>
      </c>
      <c r="AR5" s="179" t="s">
        <v>424</v>
      </c>
      <c r="AS5" s="2">
        <v>1</v>
      </c>
      <c r="AU5" s="180" t="s">
        <v>356</v>
      </c>
      <c r="AV5" s="2">
        <v>1</v>
      </c>
      <c r="AW5" s="2" t="s">
        <v>288</v>
      </c>
      <c r="AX5" s="2">
        <v>3.97</v>
      </c>
      <c r="AY5" s="2">
        <v>5</v>
      </c>
      <c r="AZ5" s="158">
        <v>0</v>
      </c>
      <c r="BD5" s="158" t="s">
        <v>209</v>
      </c>
      <c r="BE5" s="158">
        <v>209</v>
      </c>
      <c r="BF5" s="158">
        <v>28.3</v>
      </c>
      <c r="BG5" s="158">
        <v>10.7</v>
      </c>
      <c r="BH5" s="158">
        <v>1.2E-2</v>
      </c>
      <c r="BI5" s="158">
        <v>0.85</v>
      </c>
      <c r="BJ5" s="158">
        <v>0</v>
      </c>
      <c r="BK5" s="158">
        <v>12.7</v>
      </c>
      <c r="BL5" s="158">
        <v>170</v>
      </c>
      <c r="BM5" s="172" t="s">
        <v>210</v>
      </c>
    </row>
    <row r="6" spans="1:65" ht="10" customHeight="1">
      <c r="A6" s="36"/>
      <c r="B6" s="41"/>
      <c r="C6" s="41"/>
      <c r="D6" s="41"/>
      <c r="E6" s="72"/>
      <c r="F6" s="41"/>
      <c r="G6" s="41"/>
      <c r="H6" s="42"/>
      <c r="I6" s="42"/>
      <c r="J6" s="42"/>
      <c r="K6" s="41"/>
      <c r="L6" s="41"/>
      <c r="M6" s="97"/>
      <c r="N6" s="97"/>
      <c r="O6" s="97"/>
      <c r="P6" s="97"/>
      <c r="Q6" s="43"/>
      <c r="R6" s="140"/>
      <c r="S6" s="145"/>
      <c r="T6" s="146"/>
      <c r="U6" s="147"/>
      <c r="V6" s="5"/>
      <c r="W6" s="168"/>
      <c r="X6" s="169"/>
      <c r="Y6" s="181" t="s">
        <v>373</v>
      </c>
      <c r="Z6" s="162">
        <f>IF($Z$21=3,IF(L$23&gt;0,ROUND(((($B$29-$Z$75)/I16)*100)*(L$23/100)/2,0)*2,0),0)</f>
        <v>0</v>
      </c>
      <c r="AA6" s="162">
        <f>IF($Z$21=3,IF(L$23&gt;0,ROUND((($B$29-$Z$75)*100/$AA$5)*($L$23/100)/2,0)*2,0),0)</f>
        <v>0</v>
      </c>
      <c r="AB6" s="174"/>
      <c r="AC6" s="275" t="s">
        <v>69</v>
      </c>
      <c r="AD6" s="276"/>
      <c r="AE6" s="276"/>
      <c r="AF6" s="162" t="s">
        <v>68</v>
      </c>
      <c r="AG6" s="162" t="s">
        <v>67</v>
      </c>
      <c r="AH6" s="2" t="s">
        <v>167</v>
      </c>
      <c r="AI6" s="169"/>
      <c r="AJ6" s="170" t="s">
        <v>193</v>
      </c>
      <c r="AK6" s="170">
        <f>ROUNDDOWN(AK5-(0.77*$I$9),0)</f>
        <v>0</v>
      </c>
      <c r="AL6" s="169"/>
      <c r="AO6" s="177" t="s">
        <v>307</v>
      </c>
      <c r="AP6" s="178">
        <v>1</v>
      </c>
      <c r="AR6" s="179" t="s">
        <v>423</v>
      </c>
      <c r="AS6" s="2">
        <v>1.1000000000000001</v>
      </c>
      <c r="AU6" s="180" t="s">
        <v>34</v>
      </c>
      <c r="AV6" s="2">
        <v>1.9</v>
      </c>
      <c r="AW6" s="2" t="s">
        <v>289</v>
      </c>
      <c r="AX6" s="2">
        <v>9.4</v>
      </c>
      <c r="AY6" s="2">
        <v>10</v>
      </c>
      <c r="AZ6" s="158">
        <v>1</v>
      </c>
      <c r="BD6" s="158" t="s">
        <v>211</v>
      </c>
      <c r="BE6" s="158">
        <v>152</v>
      </c>
      <c r="BF6" s="158">
        <v>22.3</v>
      </c>
      <c r="BG6" s="158">
        <v>6.74</v>
      </c>
      <c r="BH6" s="158">
        <v>0.6</v>
      </c>
      <c r="BI6" s="158">
        <v>1.04</v>
      </c>
      <c r="BJ6" s="158">
        <v>0</v>
      </c>
      <c r="BK6" s="158">
        <v>9.2799999999999994</v>
      </c>
      <c r="BL6" s="158">
        <v>189</v>
      </c>
      <c r="BM6" s="172" t="s">
        <v>212</v>
      </c>
    </row>
    <row r="7" spans="1:65" ht="25.2" customHeight="1">
      <c r="A7" s="36"/>
      <c r="B7" s="284" t="s">
        <v>80</v>
      </c>
      <c r="C7" s="284"/>
      <c r="D7" s="55"/>
      <c r="E7" s="72"/>
      <c r="F7" s="263" t="s">
        <v>156</v>
      </c>
      <c r="G7" s="264"/>
      <c r="H7" s="265"/>
      <c r="I7" s="343" t="s">
        <v>63</v>
      </c>
      <c r="J7" s="344"/>
      <c r="K7" s="345" t="s">
        <v>64</v>
      </c>
      <c r="L7" s="346"/>
      <c r="M7" s="97"/>
      <c r="N7" s="97"/>
      <c r="O7" s="97"/>
      <c r="P7" s="97"/>
      <c r="Q7" s="43"/>
      <c r="R7" s="140"/>
      <c r="S7" s="145"/>
      <c r="T7" s="148" t="s">
        <v>96</v>
      </c>
      <c r="U7" s="147"/>
      <c r="V7" s="5"/>
      <c r="W7" s="168"/>
      <c r="X7" s="169"/>
      <c r="Y7" s="182" t="s">
        <v>374</v>
      </c>
      <c r="Z7" s="162">
        <f>IF($Z$21=3,IF(L$24&gt;0,ROUND(((($B$29-$Z$75)/K16)*100)*(L$24/100)/2,0)*2,0),0)</f>
        <v>0</v>
      </c>
      <c r="AA7" s="162">
        <f>IF($Z$21=3,IF(L$24&gt;0,ROUND((($B$29-$Z$75)*100/$AA$5)*($L$24/100)/2,0)*2,0),0)</f>
        <v>0</v>
      </c>
      <c r="AB7" s="174"/>
      <c r="AC7" s="275" t="s">
        <v>363</v>
      </c>
      <c r="AD7" s="276"/>
      <c r="AE7" s="276"/>
      <c r="AF7" s="162">
        <f>IF($AC$56=5,ROUND($I$9/$I$16*1000,1),0)</f>
        <v>0</v>
      </c>
      <c r="AG7" s="162">
        <f>IF($Z$48=5,ROUND($K$9/$K$16*1000,1),0)</f>
        <v>0</v>
      </c>
      <c r="AH7" s="2">
        <f>$AC$16</f>
        <v>0</v>
      </c>
      <c r="AI7" s="169"/>
      <c r="AL7" s="169"/>
      <c r="AO7" s="177" t="s">
        <v>308</v>
      </c>
      <c r="AP7" s="178">
        <v>1</v>
      </c>
      <c r="AR7" s="179"/>
      <c r="AS7" s="2"/>
      <c r="AU7" s="180" t="s">
        <v>35</v>
      </c>
      <c r="AV7" s="2">
        <v>1.6</v>
      </c>
      <c r="AW7" s="2" t="s">
        <v>289</v>
      </c>
      <c r="AX7" s="2">
        <v>7.5</v>
      </c>
      <c r="AY7" s="2">
        <v>8.5</v>
      </c>
      <c r="AZ7" s="158">
        <v>0</v>
      </c>
      <c r="BD7" s="158" t="s">
        <v>213</v>
      </c>
      <c r="BE7" s="158">
        <v>182</v>
      </c>
      <c r="BF7" s="158">
        <v>27.1</v>
      </c>
      <c r="BG7" s="158">
        <v>8.17</v>
      </c>
      <c r="BH7" s="158">
        <v>0</v>
      </c>
      <c r="BI7" s="158">
        <v>1.1100000000000001</v>
      </c>
      <c r="BJ7" s="158">
        <v>0</v>
      </c>
      <c r="BK7" s="158">
        <v>20</v>
      </c>
      <c r="BL7" s="158">
        <v>209</v>
      </c>
      <c r="BM7" s="172" t="s">
        <v>214</v>
      </c>
    </row>
    <row r="8" spans="1:65" ht="25.2" customHeight="1">
      <c r="A8" s="36"/>
      <c r="B8" s="41"/>
      <c r="C8" s="41"/>
      <c r="D8" s="41"/>
      <c r="E8" s="72"/>
      <c r="F8" s="288"/>
      <c r="G8" s="289"/>
      <c r="H8" s="290"/>
      <c r="I8" s="13" t="s">
        <v>65</v>
      </c>
      <c r="J8" s="32" t="s">
        <v>66</v>
      </c>
      <c r="K8" s="13" t="s">
        <v>65</v>
      </c>
      <c r="L8" s="59" t="s">
        <v>66</v>
      </c>
      <c r="M8" s="97"/>
      <c r="N8" s="97"/>
      <c r="O8" s="97"/>
      <c r="P8" s="97"/>
      <c r="Q8" s="43"/>
      <c r="R8" s="140"/>
      <c r="S8" s="145"/>
      <c r="T8" s="148" t="s">
        <v>399</v>
      </c>
      <c r="U8" s="147"/>
      <c r="V8" s="5"/>
      <c r="W8" s="168"/>
      <c r="X8" s="159" t="s">
        <v>377</v>
      </c>
      <c r="Y8" s="364" t="s">
        <v>134</v>
      </c>
      <c r="Z8" s="262"/>
      <c r="AA8" s="2"/>
      <c r="AB8" s="174"/>
      <c r="AC8" s="7"/>
      <c r="AD8" s="183"/>
      <c r="AE8" s="183"/>
      <c r="AF8" s="183"/>
      <c r="AG8" s="184"/>
      <c r="AH8" s="169"/>
      <c r="AI8" s="169"/>
      <c r="AJ8" s="171" t="s">
        <v>390</v>
      </c>
      <c r="AK8" s="171"/>
      <c r="AL8" s="169"/>
      <c r="AO8" s="177" t="s">
        <v>309</v>
      </c>
      <c r="AP8" s="178">
        <v>1.2</v>
      </c>
      <c r="AR8" s="179"/>
      <c r="AS8" s="2"/>
      <c r="AU8" s="180" t="s">
        <v>36</v>
      </c>
      <c r="AV8" s="2">
        <v>1.3</v>
      </c>
      <c r="AW8" s="2" t="s">
        <v>289</v>
      </c>
      <c r="AX8" s="2">
        <v>6</v>
      </c>
      <c r="AY8" s="2">
        <v>7</v>
      </c>
      <c r="AZ8" s="158">
        <v>0</v>
      </c>
      <c r="BD8" s="158" t="s">
        <v>215</v>
      </c>
      <c r="BE8" s="158">
        <v>114</v>
      </c>
      <c r="BF8" s="158">
        <v>22.5</v>
      </c>
      <c r="BG8" s="158">
        <v>2.5</v>
      </c>
      <c r="BH8" s="158">
        <v>0.4</v>
      </c>
      <c r="BI8" s="158">
        <v>1.06</v>
      </c>
      <c r="BJ8" s="158">
        <v>0</v>
      </c>
      <c r="BK8" s="158">
        <v>7.33</v>
      </c>
      <c r="BL8" s="158">
        <v>195</v>
      </c>
      <c r="BM8" s="172" t="s">
        <v>216</v>
      </c>
    </row>
    <row r="9" spans="1:65" ht="25.2" customHeight="1">
      <c r="A9" s="36"/>
      <c r="B9" s="285" t="s">
        <v>155</v>
      </c>
      <c r="C9" s="286"/>
      <c r="D9" s="287"/>
      <c r="E9" s="72"/>
      <c r="F9" s="239" t="str">
        <f>" Protéines (en %)"</f>
        <v xml:space="preserve"> Protéines (en %)</v>
      </c>
      <c r="G9" s="266"/>
      <c r="H9" s="267"/>
      <c r="I9" s="15"/>
      <c r="J9" s="106" t="str">
        <f>IF($AC$56=5,IF(AD11=1,IF(I9&gt;0,ROUND((I9*100)/(100-$I$13),2),""),""),"")</f>
        <v/>
      </c>
      <c r="K9" s="15"/>
      <c r="L9" s="108" t="str">
        <f>IF($Z$48=5,IF(AD12=1,IF(K9&gt;0,ROUND((K9*100)/(100-$K$13),2),""),""),"")</f>
        <v/>
      </c>
      <c r="M9" s="97"/>
      <c r="N9" s="97"/>
      <c r="O9" s="97"/>
      <c r="P9" s="97"/>
      <c r="Q9" s="43"/>
      <c r="R9" s="140"/>
      <c r="S9" s="149"/>
      <c r="T9" s="150" t="s">
        <v>393</v>
      </c>
      <c r="U9" s="147"/>
      <c r="V9" s="5"/>
      <c r="W9" s="168"/>
      <c r="X9" s="159"/>
      <c r="Y9" s="179" t="s">
        <v>135</v>
      </c>
      <c r="Z9" s="179">
        <f>IF($I$19&gt;0,ROUNDDOWN($I$18/$I$19,2),0)</f>
        <v>0</v>
      </c>
      <c r="AA9" s="2"/>
      <c r="AB9" s="174"/>
      <c r="AC9" s="160"/>
      <c r="AD9" s="183"/>
      <c r="AE9" s="183"/>
      <c r="AF9" s="183"/>
      <c r="AG9" s="184"/>
      <c r="AH9" s="169"/>
      <c r="AI9" s="169"/>
      <c r="AJ9" s="170" t="s">
        <v>387</v>
      </c>
      <c r="AK9" s="170">
        <f>ROUND((5.7*$K$9)+(9.4*$K$10)+(4.1*($K$11+$K$14)),3)</f>
        <v>0</v>
      </c>
      <c r="AL9" s="169"/>
      <c r="AO9" s="177" t="s">
        <v>310</v>
      </c>
      <c r="AP9" s="178">
        <v>1</v>
      </c>
      <c r="AR9" s="179"/>
      <c r="AS9" s="2"/>
      <c r="AU9" s="180" t="s">
        <v>37</v>
      </c>
      <c r="AV9" s="2">
        <v>1.1000000000000001</v>
      </c>
      <c r="AW9" s="2" t="s">
        <v>290</v>
      </c>
      <c r="AX9" s="2">
        <v>4.8</v>
      </c>
      <c r="AY9" s="2">
        <v>6</v>
      </c>
      <c r="AZ9" s="158">
        <v>0</v>
      </c>
      <c r="BD9" s="158" t="s">
        <v>217</v>
      </c>
      <c r="BE9" s="158">
        <v>123</v>
      </c>
      <c r="BF9" s="158">
        <v>25</v>
      </c>
      <c r="BG9" s="158">
        <v>2.5</v>
      </c>
      <c r="BH9" s="158">
        <v>1E-3</v>
      </c>
      <c r="BI9" s="158">
        <v>1.1599999999999999</v>
      </c>
      <c r="BJ9" s="158">
        <v>0</v>
      </c>
      <c r="BK9" s="158">
        <v>7.5</v>
      </c>
      <c r="BL9" s="158">
        <v>200</v>
      </c>
      <c r="BM9" s="172" t="s">
        <v>218</v>
      </c>
    </row>
    <row r="10" spans="1:65" ht="25.2" customHeight="1">
      <c r="A10" s="36"/>
      <c r="B10" s="268" t="s">
        <v>414</v>
      </c>
      <c r="C10" s="269"/>
      <c r="D10" s="270"/>
      <c r="E10" s="73"/>
      <c r="F10" s="239" t="str">
        <f>" Lipides  / Matières Grasses (en %)"</f>
        <v xml:space="preserve"> Lipides  / Matières Grasses (en %)</v>
      </c>
      <c r="G10" s="266"/>
      <c r="H10" s="267"/>
      <c r="I10" s="15"/>
      <c r="J10" s="106" t="str">
        <f>IF($AC$56=5,IF(AD11=1,IF(I10&gt;0,ROUND((I10*100)/(100-$I$13),2),""),""),"")</f>
        <v/>
      </c>
      <c r="K10" s="15"/>
      <c r="L10" s="108" t="str">
        <f>IF($Z$48=5,IF(AD12=1,IF(K10&gt;0,ROUND((K10*100)/(100-$K$13),2),""),""),"")</f>
        <v/>
      </c>
      <c r="M10" s="97"/>
      <c r="N10" s="97"/>
      <c r="O10" s="97"/>
      <c r="P10" s="97"/>
      <c r="Q10" s="43"/>
      <c r="R10" s="140"/>
      <c r="S10" s="149"/>
      <c r="T10" s="148"/>
      <c r="U10" s="147"/>
      <c r="V10" s="5"/>
      <c r="W10" s="168"/>
      <c r="X10" s="2" t="s">
        <v>379</v>
      </c>
      <c r="Y10" s="179" t="s">
        <v>136</v>
      </c>
      <c r="Z10" s="179">
        <f>IF($K$19&gt;0,ROUNDDOWN($K$18/$K$19,2),0)</f>
        <v>0</v>
      </c>
      <c r="AA10" s="2"/>
      <c r="AB10" s="174" t="s">
        <v>89</v>
      </c>
      <c r="AC10" s="158" t="s">
        <v>100</v>
      </c>
      <c r="AD10" s="3">
        <v>-5</v>
      </c>
      <c r="AE10" s="183"/>
      <c r="AF10" s="162" t="s">
        <v>92</v>
      </c>
      <c r="AG10" s="184"/>
      <c r="AH10" s="169"/>
      <c r="AI10" s="169"/>
      <c r="AJ10" s="170" t="s">
        <v>388</v>
      </c>
      <c r="AK10" s="170">
        <f>IF(AK9&gt;0,ROUND(87.9-(0.88*$L$11),3),0)</f>
        <v>0</v>
      </c>
      <c r="AL10" s="169"/>
      <c r="AO10" s="177" t="s">
        <v>311</v>
      </c>
      <c r="AP10" s="178">
        <v>1</v>
      </c>
      <c r="BD10" s="158" t="s">
        <v>219</v>
      </c>
      <c r="BE10" s="158">
        <v>164</v>
      </c>
      <c r="BF10" s="158">
        <v>24</v>
      </c>
      <c r="BG10" s="158">
        <v>7.5</v>
      </c>
      <c r="BH10" s="158">
        <v>0</v>
      </c>
      <c r="BI10" s="158">
        <v>0.9</v>
      </c>
      <c r="BJ10" s="158">
        <v>0</v>
      </c>
      <c r="BK10" s="158">
        <v>18</v>
      </c>
      <c r="BL10" s="158">
        <v>170</v>
      </c>
      <c r="BM10" s="172" t="s">
        <v>220</v>
      </c>
    </row>
    <row r="11" spans="1:65" ht="25.2" customHeight="1">
      <c r="A11" s="36"/>
      <c r="B11" s="271"/>
      <c r="C11" s="269"/>
      <c r="D11" s="270"/>
      <c r="E11" s="73"/>
      <c r="F11" s="281" t="str">
        <f>" Fibres / Celullose Brute (en %)"</f>
        <v xml:space="preserve"> Fibres / Celullose Brute (en %)</v>
      </c>
      <c r="G11" s="266"/>
      <c r="H11" s="267"/>
      <c r="I11" s="15"/>
      <c r="J11" s="106" t="str">
        <f>IF($AC$56=5,IF(AD11=1,IF(I11&gt;0,ROUND((I11*100)/(100-$I$13),2),""),""),"")</f>
        <v/>
      </c>
      <c r="K11" s="15"/>
      <c r="L11" s="108" t="str">
        <f>IF($Z$48=5,IF(AD12=1,IF(K11&gt;0,ROUND((K11*100)/(100-$K$13),2),""),""),"")</f>
        <v/>
      </c>
      <c r="M11" s="97"/>
      <c r="N11" s="97"/>
      <c r="O11" s="97"/>
      <c r="P11" s="97"/>
      <c r="Q11" s="43"/>
      <c r="R11" s="140"/>
      <c r="S11" s="149"/>
      <c r="T11" s="148" t="s">
        <v>97</v>
      </c>
      <c r="U11" s="147"/>
      <c r="V11" s="5"/>
      <c r="W11" s="168"/>
      <c r="X11" s="2" t="s">
        <v>378</v>
      </c>
      <c r="Y11" s="168" t="s">
        <v>170</v>
      </c>
      <c r="Z11" s="185">
        <f>IF($AC$56=5,IF($AD$11=1,$AC$13,0),0)</f>
        <v>0</v>
      </c>
      <c r="AA11" s="2"/>
      <c r="AB11" s="175" t="s">
        <v>87</v>
      </c>
      <c r="AC11" s="158">
        <f>IF($AC$56=5,100-$I$9-$I$10-$I$11-$I$12-$I$13,0)</f>
        <v>0</v>
      </c>
      <c r="AD11" s="158">
        <f>IF($AC$11&lt;$AD$10,0,IF($AC$11=100,0,1))</f>
        <v>1</v>
      </c>
      <c r="AE11" s="183"/>
      <c r="AF11" s="162" t="s">
        <v>90</v>
      </c>
      <c r="AG11" s="162" t="s">
        <v>67</v>
      </c>
      <c r="AH11" s="184"/>
      <c r="AI11" s="169"/>
      <c r="AJ11" s="170" t="s">
        <v>389</v>
      </c>
      <c r="AK11" s="170">
        <f>ROUND((AK9*AK10)/100,3)</f>
        <v>0</v>
      </c>
      <c r="AL11" s="169"/>
      <c r="AO11" s="177" t="s">
        <v>312</v>
      </c>
      <c r="AP11" s="178">
        <v>1</v>
      </c>
      <c r="BD11" s="158" t="s">
        <v>221</v>
      </c>
      <c r="BE11" s="158">
        <v>172</v>
      </c>
      <c r="BF11" s="158">
        <v>34</v>
      </c>
      <c r="BG11" s="158">
        <v>4.05</v>
      </c>
      <c r="BH11" s="158">
        <v>1E-3</v>
      </c>
      <c r="BI11" s="158">
        <v>1.1000000000000001</v>
      </c>
      <c r="BJ11" s="158">
        <v>0</v>
      </c>
      <c r="BK11" s="158">
        <v>18</v>
      </c>
      <c r="BL11" s="158">
        <v>171</v>
      </c>
      <c r="BM11" s="172" t="s">
        <v>222</v>
      </c>
    </row>
    <row r="12" spans="1:65" ht="25.2" customHeight="1">
      <c r="A12" s="36"/>
      <c r="B12" s="271"/>
      <c r="C12" s="269"/>
      <c r="D12" s="270"/>
      <c r="E12" s="74"/>
      <c r="F12" s="239" t="str">
        <f>" Cendres / Matières Minérales (en %)"</f>
        <v xml:space="preserve"> Cendres / Matières Minérales (en %)</v>
      </c>
      <c r="G12" s="266"/>
      <c r="H12" s="267"/>
      <c r="I12" s="15"/>
      <c r="J12" s="106" t="str">
        <f>IF($AC$56=5,IF(AD11=1,IF(I12&gt;0,ROUND((I12*100)/(100-$I$13),2),""),""),"")</f>
        <v/>
      </c>
      <c r="K12" s="15"/>
      <c r="L12" s="108" t="str">
        <f>IF($Z$48=5,IF(AD12=1,IF(K12&gt;0,ROUND((K12*100)/(100-$K$13),2),""),""),"")</f>
        <v/>
      </c>
      <c r="M12" s="97"/>
      <c r="N12" s="97"/>
      <c r="O12" s="97"/>
      <c r="P12" s="97"/>
      <c r="Q12" s="43"/>
      <c r="R12" s="140"/>
      <c r="S12" s="149"/>
      <c r="T12" s="148" t="s">
        <v>98</v>
      </c>
      <c r="U12" s="147"/>
      <c r="V12" s="5"/>
      <c r="W12" s="168"/>
      <c r="X12" s="169"/>
      <c r="Y12" s="168" t="s">
        <v>171</v>
      </c>
      <c r="Z12" s="185">
        <f>IF($Z$48=5,IF($AD$12=1,$AC$14,0),0)</f>
        <v>0</v>
      </c>
      <c r="AA12" s="2"/>
      <c r="AB12" s="175" t="s">
        <v>88</v>
      </c>
      <c r="AC12" s="158">
        <f>IF($Z$48=5,100-$K$9-$K$10-$K$11-$K$12-$K$13,0)</f>
        <v>0</v>
      </c>
      <c r="AD12" s="158">
        <f>IF($AC$12&lt;$AD$10,0,IF($AC$12=100,0,1))</f>
        <v>1</v>
      </c>
      <c r="AE12" s="183"/>
      <c r="AF12" s="162">
        <f>IF($Z$21=3,($I$18*($Z$16/($Z$16+$Z$17))),0)</f>
        <v>0</v>
      </c>
      <c r="AG12" s="162">
        <f>IF($Z$21=3,($K$18*($Z$17/($Z$16+$Z$17))),0)</f>
        <v>0</v>
      </c>
      <c r="AH12" s="162" t="s">
        <v>55</v>
      </c>
      <c r="AI12" s="169"/>
      <c r="AJ12" s="170" t="s">
        <v>193</v>
      </c>
      <c r="AK12" s="170">
        <f>ROUNDDOWN(AK11-(0.77*$K$9),0)</f>
        <v>0</v>
      </c>
      <c r="AL12" s="169"/>
      <c r="AO12" s="177" t="s">
        <v>313</v>
      </c>
      <c r="AP12" s="178">
        <v>1</v>
      </c>
      <c r="BD12" s="158" t="s">
        <v>223</v>
      </c>
      <c r="BE12" s="158">
        <v>130</v>
      </c>
      <c r="BF12" s="158">
        <v>21.9</v>
      </c>
      <c r="BG12" s="158">
        <v>4.59</v>
      </c>
      <c r="BH12" s="158">
        <v>0.3</v>
      </c>
      <c r="BI12" s="158">
        <v>1.01</v>
      </c>
      <c r="BJ12" s="158">
        <v>0</v>
      </c>
      <c r="BK12" s="158">
        <v>7</v>
      </c>
      <c r="BL12" s="158">
        <v>184</v>
      </c>
      <c r="BM12" s="172" t="s">
        <v>224</v>
      </c>
    </row>
    <row r="13" spans="1:65" ht="25.2" customHeight="1">
      <c r="A13" s="36"/>
      <c r="B13" s="271"/>
      <c r="C13" s="269"/>
      <c r="D13" s="270"/>
      <c r="E13" s="73"/>
      <c r="F13" s="239" t="s">
        <v>111</v>
      </c>
      <c r="G13" s="266"/>
      <c r="H13" s="267"/>
      <c r="I13" s="15"/>
      <c r="J13" s="106"/>
      <c r="K13" s="15"/>
      <c r="L13" s="108"/>
      <c r="M13" s="97"/>
      <c r="N13" s="97"/>
      <c r="O13" s="97"/>
      <c r="P13" s="97"/>
      <c r="Q13" s="43"/>
      <c r="R13" s="140"/>
      <c r="S13" s="149"/>
      <c r="T13" s="148" t="s">
        <v>99</v>
      </c>
      <c r="U13" s="147"/>
      <c r="V13" s="5"/>
      <c r="W13" s="168"/>
      <c r="X13" s="169"/>
      <c r="Y13" s="182" t="s">
        <v>369</v>
      </c>
      <c r="Z13" s="160">
        <f>IF($Z$21=3,$AF$84,0)</f>
        <v>0</v>
      </c>
      <c r="AA13" s="2"/>
      <c r="AB13" s="175" t="s">
        <v>101</v>
      </c>
      <c r="AC13" s="158">
        <f>IF($AC$11&lt;0,IF($AC$11&gt;$AD$10-1,0,"ERREUR"),$AC$11)</f>
        <v>0</v>
      </c>
      <c r="AD13" s="158"/>
      <c r="AE13" s="183"/>
      <c r="AF13" s="162">
        <f>IF($Z$21=3,($I$19*($Z$16/($Z$16+$Z$17))),0)</f>
        <v>0</v>
      </c>
      <c r="AG13" s="162">
        <f>IF($Z$21=3,($K$19*($Z$17/($Z$16+$Z$17))),0)</f>
        <v>0</v>
      </c>
      <c r="AH13" s="162" t="s">
        <v>56</v>
      </c>
      <c r="AI13" s="169"/>
      <c r="AJ13" s="169"/>
      <c r="AK13" s="169"/>
      <c r="AL13" s="169"/>
      <c r="AO13" s="177" t="s">
        <v>314</v>
      </c>
      <c r="AP13" s="178">
        <v>1</v>
      </c>
      <c r="BD13" s="158" t="s">
        <v>225</v>
      </c>
      <c r="BE13" s="158">
        <v>155</v>
      </c>
      <c r="BF13" s="158">
        <v>25.5</v>
      </c>
      <c r="BG13" s="158">
        <v>5.85</v>
      </c>
      <c r="BH13" s="158">
        <v>0</v>
      </c>
      <c r="BI13" s="158">
        <v>1.22</v>
      </c>
      <c r="BJ13" s="158">
        <v>0</v>
      </c>
      <c r="BK13" s="158">
        <v>7</v>
      </c>
      <c r="BL13" s="158">
        <v>180</v>
      </c>
      <c r="BM13" s="172" t="s">
        <v>226</v>
      </c>
    </row>
    <row r="14" spans="1:65" ht="25.2" customHeight="1">
      <c r="A14" s="36"/>
      <c r="B14" s="65"/>
      <c r="C14" s="20"/>
      <c r="D14" s="66"/>
      <c r="E14" s="73"/>
      <c r="F14" s="239" t="str">
        <f>" ENA  / Glucides assimilables et fermensticibles (en %)"</f>
        <v xml:space="preserve"> ENA  / Glucides assimilables et fermensticibles (en %)</v>
      </c>
      <c r="G14" s="266"/>
      <c r="H14" s="267"/>
      <c r="I14" s="16">
        <f>IF($AC$56=5,IF($AD$11=1,$AC$13,"ERREUR"),0)</f>
        <v>0</v>
      </c>
      <c r="J14" s="106" t="str">
        <f>IF($AC$56=5,IF(AD11=1,IF(Z11&gt;0,ROUND((Z11*100)/(100-$I$13),2),0),""),"")</f>
        <v/>
      </c>
      <c r="K14" s="16">
        <f>IF($Z$48=5,IF($AD$12=1,$AC$14,"ERREUR"),0)</f>
        <v>0</v>
      </c>
      <c r="L14" s="108" t="str">
        <f>IF($Z$48=5,IF(AD12=1,IF(Z12&gt;0,ROUND((Z12*100)/(100-$K$13),2),0),""),"")</f>
        <v/>
      </c>
      <c r="M14" s="97"/>
      <c r="N14" s="97"/>
      <c r="O14" s="97"/>
      <c r="P14" s="97"/>
      <c r="Q14" s="43"/>
      <c r="R14" s="140"/>
      <c r="S14" s="149"/>
      <c r="T14" s="148" t="s">
        <v>400</v>
      </c>
      <c r="U14" s="147"/>
      <c r="V14" s="5"/>
      <c r="W14" s="168"/>
      <c r="X14" s="169"/>
      <c r="Y14" s="182" t="s">
        <v>370</v>
      </c>
      <c r="Z14" s="160">
        <f>IF($Z$21=3,$AG$84,0)</f>
        <v>0</v>
      </c>
      <c r="AA14" s="3"/>
      <c r="AB14" s="175" t="s">
        <v>102</v>
      </c>
      <c r="AC14" s="158">
        <f>IF($AC$12&lt;0,IF($AC$12&gt;$AD$10-1,0,"ERREUR"),$AC$12)</f>
        <v>0</v>
      </c>
      <c r="AD14" s="158"/>
      <c r="AE14" s="183"/>
      <c r="AF14" s="162" t="s">
        <v>94</v>
      </c>
      <c r="AG14" s="162"/>
      <c r="AH14" s="162"/>
      <c r="AI14" s="169"/>
      <c r="AJ14" s="169"/>
      <c r="AK14" s="169"/>
      <c r="AL14" s="169"/>
      <c r="AO14" s="177" t="s">
        <v>315</v>
      </c>
      <c r="AP14" s="178">
        <v>1.1000000000000001</v>
      </c>
      <c r="BD14" s="158" t="s">
        <v>227</v>
      </c>
      <c r="BE14" s="158">
        <v>209</v>
      </c>
      <c r="BF14" s="158">
        <v>20.2</v>
      </c>
      <c r="BG14" s="158">
        <v>14.1</v>
      </c>
      <c r="BH14" s="158">
        <v>0</v>
      </c>
      <c r="BI14" s="158">
        <v>0.89</v>
      </c>
      <c r="BJ14" s="158">
        <v>0</v>
      </c>
      <c r="BK14" s="158">
        <v>9.33</v>
      </c>
      <c r="BL14" s="158">
        <v>171</v>
      </c>
      <c r="BM14" s="172" t="s">
        <v>228</v>
      </c>
    </row>
    <row r="15" spans="1:65" ht="25.2" customHeight="1">
      <c r="A15" s="36"/>
      <c r="B15" s="67" t="s">
        <v>112</v>
      </c>
      <c r="C15" s="14"/>
      <c r="D15" s="68" t="s">
        <v>113</v>
      </c>
      <c r="E15" s="73"/>
      <c r="F15" s="217" t="str">
        <f>IF($Z$59=1," Energie Métabolisable ATWATER (kcal/100g)","")</f>
        <v/>
      </c>
      <c r="G15" s="254"/>
      <c r="H15" s="255"/>
      <c r="I15" s="17">
        <f>IF($AC$56=5,IF($AD$11=1,$AF$5,0),0)</f>
        <v>0</v>
      </c>
      <c r="J15" s="106"/>
      <c r="K15" s="17">
        <f>IF($Z$48=5,IF($AD$12=1,$AG$5,0),0)</f>
        <v>0</v>
      </c>
      <c r="L15" s="108"/>
      <c r="M15" s="97"/>
      <c r="N15" s="97"/>
      <c r="O15" s="97"/>
      <c r="P15" s="97"/>
      <c r="Q15" s="43"/>
      <c r="R15" s="140"/>
      <c r="S15" s="149"/>
      <c r="T15" s="148" t="s">
        <v>401</v>
      </c>
      <c r="U15" s="147"/>
      <c r="V15" s="5"/>
      <c r="W15" s="168"/>
      <c r="X15" s="159"/>
      <c r="Y15" s="159" t="s">
        <v>382</v>
      </c>
      <c r="Z15" s="161"/>
      <c r="AA15" s="3"/>
      <c r="AB15" s="175"/>
      <c r="AC15" s="160"/>
      <c r="AD15" s="160"/>
      <c r="AE15" s="183"/>
      <c r="AF15" s="162" t="s">
        <v>91</v>
      </c>
      <c r="AG15" s="162">
        <f>IF($L$23=100,AF12,IF($L$23=0,AG12,AF12+AG12))</f>
        <v>0</v>
      </c>
      <c r="AH15" s="162" t="s">
        <v>55</v>
      </c>
      <c r="AI15" s="169"/>
      <c r="AJ15" s="170" t="s">
        <v>405</v>
      </c>
      <c r="AL15" s="169"/>
      <c r="AO15" s="177" t="s">
        <v>316</v>
      </c>
      <c r="AP15" s="178">
        <v>1</v>
      </c>
      <c r="BD15" s="158" t="s">
        <v>229</v>
      </c>
      <c r="BE15" s="158">
        <v>239</v>
      </c>
      <c r="BF15" s="158">
        <v>23.6</v>
      </c>
      <c r="BG15" s="158">
        <v>16.100000000000001</v>
      </c>
      <c r="BH15" s="158">
        <v>0</v>
      </c>
      <c r="BI15" s="158">
        <v>1.1599999999999999</v>
      </c>
      <c r="BJ15" s="158">
        <v>0</v>
      </c>
      <c r="BK15" s="158">
        <v>15</v>
      </c>
      <c r="BL15" s="158">
        <v>195</v>
      </c>
      <c r="BM15" s="172" t="s">
        <v>230</v>
      </c>
    </row>
    <row r="16" spans="1:65" ht="25.2" customHeight="1">
      <c r="A16" s="36"/>
      <c r="B16" s="277" t="s">
        <v>342</v>
      </c>
      <c r="C16" s="278"/>
      <c r="D16" s="279"/>
      <c r="E16" s="73"/>
      <c r="F16" s="217" t="str">
        <f>IF($Z$59=1," Energie Métabolisable NRC 2006 (kcal/100g)","")</f>
        <v/>
      </c>
      <c r="G16" s="254"/>
      <c r="H16" s="255"/>
      <c r="I16" s="102">
        <f>IF($AC$56=5,IF($AD$11=1,$AK$6,0),0)</f>
        <v>0</v>
      </c>
      <c r="J16" s="106" t="str">
        <f>IF($AC$56=5,IF(AD11=1,"RPC : "&amp;$AF$7,""),"")</f>
        <v/>
      </c>
      <c r="K16" s="102">
        <f>IF($Z$48=5,IF($AD$12=1,$AK$12,0),0)</f>
        <v>0</v>
      </c>
      <c r="L16" s="108" t="str">
        <f>IF($Z$48=5,IF(AD12=1,"RPC : "&amp;$AG$7,""),"")</f>
        <v/>
      </c>
      <c r="M16" s="97"/>
      <c r="N16" s="97"/>
      <c r="O16" s="97"/>
      <c r="P16" s="97"/>
      <c r="Q16" s="43"/>
      <c r="R16" s="140"/>
      <c r="S16" s="149"/>
      <c r="T16" s="146"/>
      <c r="U16" s="147"/>
      <c r="V16" s="5"/>
      <c r="W16" s="168"/>
      <c r="X16" s="169"/>
      <c r="Y16" s="181" t="s">
        <v>373</v>
      </c>
      <c r="Z16" s="162">
        <f>IF($H$23=$X$10,$AA6,$Z6)</f>
        <v>0</v>
      </c>
      <c r="AA16" s="3"/>
      <c r="AB16" s="175" t="s">
        <v>175</v>
      </c>
      <c r="AC16" s="158">
        <f>IF($Z$21=3,ROUNDUP($AA$84,0),0)</f>
        <v>0</v>
      </c>
      <c r="AD16" s="160"/>
      <c r="AE16" s="183"/>
      <c r="AF16" s="162"/>
      <c r="AG16" s="162">
        <f>IF($L$23=100,AF13,IF($L$23=0,AG13,AF13+AG13))</f>
        <v>0</v>
      </c>
      <c r="AH16" s="162" t="s">
        <v>56</v>
      </c>
      <c r="AI16" s="169"/>
      <c r="AJ16" s="158" t="str">
        <f>IF($C$20&lt;&gt;"",VLOOKUP($C$20,$AU$4:$AZ$9,6,0),"")</f>
        <v/>
      </c>
      <c r="AK16" s="172" t="s">
        <v>403</v>
      </c>
      <c r="AL16" s="169"/>
      <c r="AO16" s="177" t="s">
        <v>13</v>
      </c>
      <c r="AP16" s="178">
        <v>1</v>
      </c>
      <c r="BD16" s="158" t="s">
        <v>231</v>
      </c>
      <c r="BE16" s="158">
        <v>126</v>
      </c>
      <c r="BF16" s="158">
        <v>19.399999999999999</v>
      </c>
      <c r="BG16" s="158">
        <v>5.33</v>
      </c>
      <c r="BH16" s="158">
        <v>0</v>
      </c>
      <c r="BI16" s="158">
        <v>1.1599999999999999</v>
      </c>
      <c r="BJ16" s="158">
        <v>0</v>
      </c>
      <c r="BK16" s="158">
        <v>9</v>
      </c>
      <c r="BL16" s="158">
        <v>199</v>
      </c>
      <c r="BM16" s="172" t="s">
        <v>232</v>
      </c>
    </row>
    <row r="17" spans="1:65" ht="15.05" customHeight="1" thickBot="1">
      <c r="A17" s="36"/>
      <c r="B17" s="280"/>
      <c r="C17" s="278"/>
      <c r="D17" s="279"/>
      <c r="E17" s="73"/>
      <c r="F17" s="239"/>
      <c r="G17" s="254"/>
      <c r="H17" s="255"/>
      <c r="I17" s="16"/>
      <c r="J17" s="107"/>
      <c r="K17" s="18"/>
      <c r="L17" s="109"/>
      <c r="M17" s="97"/>
      <c r="N17" s="97"/>
      <c r="O17" s="97"/>
      <c r="P17" s="97"/>
      <c r="Q17" s="43"/>
      <c r="R17" s="140"/>
      <c r="S17" s="151"/>
      <c r="T17" s="152"/>
      <c r="U17" s="153"/>
      <c r="V17" s="5"/>
      <c r="W17" s="168"/>
      <c r="X17" s="169"/>
      <c r="Y17" s="182" t="s">
        <v>374</v>
      </c>
      <c r="Z17" s="160">
        <f>IF($H$23=$X$10,$AA7,$Z7)</f>
        <v>0</v>
      </c>
      <c r="AA17" s="168"/>
      <c r="AB17" s="166"/>
      <c r="AC17" s="160"/>
      <c r="AD17" s="160"/>
      <c r="AE17" s="183"/>
      <c r="AF17" s="162" t="s">
        <v>95</v>
      </c>
      <c r="AG17" s="162"/>
      <c r="AH17" s="162"/>
      <c r="AI17" s="169"/>
      <c r="AJ17" s="172"/>
      <c r="AK17" s="172" t="s">
        <v>404</v>
      </c>
      <c r="AL17" s="169"/>
      <c r="AO17" s="177" t="s">
        <v>317</v>
      </c>
      <c r="AP17" s="178">
        <v>1</v>
      </c>
      <c r="BD17" s="158" t="s">
        <v>233</v>
      </c>
      <c r="BE17" s="158">
        <v>194</v>
      </c>
      <c r="BF17" s="158">
        <v>23.3</v>
      </c>
      <c r="BG17" s="158">
        <v>11.2</v>
      </c>
      <c r="BH17" s="158">
        <v>0</v>
      </c>
      <c r="BI17" s="158">
        <v>1.24</v>
      </c>
      <c r="BJ17" s="158">
        <v>0</v>
      </c>
      <c r="BK17" s="158">
        <v>6.78</v>
      </c>
      <c r="BL17" s="158">
        <v>203</v>
      </c>
      <c r="BM17" s="172" t="s">
        <v>234</v>
      </c>
    </row>
    <row r="18" spans="1:65" ht="25.2" customHeight="1">
      <c r="A18" s="36"/>
      <c r="B18" s="280"/>
      <c r="C18" s="278"/>
      <c r="D18" s="279"/>
      <c r="E18" s="73"/>
      <c r="F18" s="239" t="str">
        <f>" Calcium (en %, si disponible)"</f>
        <v xml:space="preserve"> Calcium (en %, si disponible)</v>
      </c>
      <c r="G18" s="221"/>
      <c r="H18" s="274"/>
      <c r="I18" s="15"/>
      <c r="J18" s="106" t="str">
        <f>IF($AC$56=5,IF(AD11=1,IF(I18&gt;0,ROUND((I18*100)/(100-$I$13),2),""),""),"")</f>
        <v/>
      </c>
      <c r="K18" s="15"/>
      <c r="L18" s="108" t="str">
        <f>IF($Z$48=5,IF(AD12=1,IF(K18&gt;0,ROUND((K18*100)/(100-$K$13),2),""),""),"")</f>
        <v/>
      </c>
      <c r="M18" s="97"/>
      <c r="N18" s="97"/>
      <c r="O18" s="97"/>
      <c r="P18" s="97"/>
      <c r="Q18" s="43"/>
      <c r="R18" s="140"/>
      <c r="S18" s="141"/>
      <c r="T18" s="141"/>
      <c r="U18" s="141"/>
      <c r="V18" s="5"/>
      <c r="W18" s="168"/>
      <c r="X18" s="169"/>
      <c r="Y18" s="158"/>
      <c r="Z18" s="168"/>
      <c r="AA18" s="168"/>
      <c r="AB18" s="166"/>
      <c r="AC18" s="158"/>
      <c r="AD18" s="158"/>
      <c r="AE18" s="168"/>
      <c r="AF18" s="162" t="s">
        <v>93</v>
      </c>
      <c r="AG18" s="162">
        <f>IF($L$23=100,$X$40+1,IF($L$23=0,$X$49+1,$X$40+$X$49))</f>
        <v>1</v>
      </c>
      <c r="AH18" s="162" t="s">
        <v>55</v>
      </c>
      <c r="AI18" s="169"/>
      <c r="AJ18" s="169"/>
      <c r="AK18" s="169"/>
      <c r="AL18" s="169"/>
      <c r="AO18" s="177" t="s">
        <v>318</v>
      </c>
      <c r="AP18" s="178">
        <v>1</v>
      </c>
      <c r="AR18" s="329" t="s">
        <v>33</v>
      </c>
      <c r="AS18" s="330"/>
      <c r="BD18" s="158" t="s">
        <v>235</v>
      </c>
      <c r="BE18" s="158">
        <v>121</v>
      </c>
      <c r="BF18" s="158">
        <v>22.2</v>
      </c>
      <c r="BG18" s="158">
        <v>3.58</v>
      </c>
      <c r="BH18" s="158">
        <v>1E-3</v>
      </c>
      <c r="BI18" s="158">
        <v>1</v>
      </c>
      <c r="BJ18" s="158">
        <v>0</v>
      </c>
      <c r="BK18" s="158">
        <v>9</v>
      </c>
      <c r="BL18" s="158">
        <v>170</v>
      </c>
      <c r="BM18" s="172" t="s">
        <v>236</v>
      </c>
    </row>
    <row r="19" spans="1:65" ht="25.2" customHeight="1">
      <c r="A19" s="36"/>
      <c r="B19" s="69" t="s">
        <v>114</v>
      </c>
      <c r="C19" s="259"/>
      <c r="D19" s="260"/>
      <c r="E19" s="75" t="str">
        <f>IF($C$19&lt;&gt;"",VLOOKUP($C$19,$AO$4:$AP$100,2,0),"")</f>
        <v/>
      </c>
      <c r="F19" s="239" t="str">
        <f>" Phosphore (en %, si disponible)"</f>
        <v xml:space="preserve"> Phosphore (en %, si disponible)</v>
      </c>
      <c r="G19" s="347"/>
      <c r="H19" s="348"/>
      <c r="I19" s="15"/>
      <c r="J19" s="106" t="str">
        <f>IF($AC$56=5,IF(AD11=1,IF(I19&gt;0,ROUND((I19*100)/(100-$I$13),2),""),""),"")</f>
        <v/>
      </c>
      <c r="K19" s="15"/>
      <c r="L19" s="108" t="str">
        <f>IF($Z$48=5,IF(AD12=1,IF(K19&gt;0,ROUND((K19*100)/(100-$K$13),2),""),""),"")</f>
        <v/>
      </c>
      <c r="M19" s="97"/>
      <c r="N19" s="154"/>
      <c r="O19" s="97"/>
      <c r="P19" s="97"/>
      <c r="Q19" s="43"/>
      <c r="R19" s="140"/>
      <c r="S19" s="140"/>
      <c r="T19" s="140"/>
      <c r="U19" s="140"/>
      <c r="V19" s="5"/>
      <c r="W19" s="168"/>
      <c r="X19" s="169"/>
      <c r="Y19" s="186"/>
      <c r="Z19" s="186"/>
      <c r="AA19" s="168"/>
      <c r="AB19" s="166"/>
      <c r="AC19" s="158"/>
      <c r="AD19" s="158"/>
      <c r="AE19" s="168"/>
      <c r="AF19" s="162"/>
      <c r="AG19" s="162">
        <f>IF($L$23=100,$X$41+1,IF($L$23=0,$X$50+1,$X$41+$X$50))</f>
        <v>1</v>
      </c>
      <c r="AH19" s="162" t="s">
        <v>56</v>
      </c>
      <c r="AI19" s="169"/>
      <c r="AJ19" s="169"/>
      <c r="AK19" s="169"/>
      <c r="AL19" s="169"/>
      <c r="AO19" s="177" t="s">
        <v>319</v>
      </c>
      <c r="AP19" s="178">
        <v>1</v>
      </c>
      <c r="AR19" s="179" t="s">
        <v>32</v>
      </c>
      <c r="AS19" s="2">
        <v>1</v>
      </c>
      <c r="BD19" s="158" t="s">
        <v>237</v>
      </c>
      <c r="BE19" s="158">
        <v>163</v>
      </c>
      <c r="BF19" s="158">
        <v>26.6</v>
      </c>
      <c r="BG19" s="158">
        <v>6.27</v>
      </c>
      <c r="BH19" s="158">
        <v>1E-3</v>
      </c>
      <c r="BI19" s="158">
        <v>1</v>
      </c>
      <c r="BJ19" s="158">
        <v>0</v>
      </c>
      <c r="BK19" s="158">
        <v>10</v>
      </c>
      <c r="BL19" s="158">
        <v>185</v>
      </c>
      <c r="BM19" s="172" t="s">
        <v>238</v>
      </c>
    </row>
    <row r="20" spans="1:65" ht="25.2" customHeight="1">
      <c r="A20" s="36"/>
      <c r="B20" s="69" t="s">
        <v>116</v>
      </c>
      <c r="C20" s="259"/>
      <c r="D20" s="260"/>
      <c r="E20" s="75" t="str">
        <f>IF($AJ$16=1,1,IF($C$21&lt;&gt;"",VLOOKUP($C$21,$AR$4:$AS$9,2,0),""))</f>
        <v/>
      </c>
      <c r="F20" s="251" t="str">
        <f>IF($AC$59=1," Ratio entre le Calcium et le Phosphore","")</f>
        <v/>
      </c>
      <c r="G20" s="252"/>
      <c r="H20" s="253"/>
      <c r="I20" s="30" t="str">
        <f>IF($AC$56=5,IF(AD11=1,IF($Z$42=2,$Z$9,0),""),"")</f>
        <v/>
      </c>
      <c r="J20" s="106" t="str">
        <f>IF($AC$56=5,IF($I$19&gt;0,"RPP : "&amp;$Z$3,""),"")</f>
        <v/>
      </c>
      <c r="K20" s="30" t="str">
        <f>IF($Z$48=5,IF(AD12=1,IF($Z$51=2,$Z$10,0),""),"")</f>
        <v/>
      </c>
      <c r="L20" s="110" t="str">
        <f>IF($Z$48=5,IF($K$19&gt;0,"RPP : "&amp;$Z$4,""),"")</f>
        <v/>
      </c>
      <c r="M20" s="97"/>
      <c r="N20" s="154"/>
      <c r="O20" s="97"/>
      <c r="P20" s="97"/>
      <c r="Q20" s="43"/>
      <c r="R20" s="140"/>
      <c r="S20" s="140"/>
      <c r="T20" s="140"/>
      <c r="U20" s="140"/>
      <c r="V20" s="140"/>
      <c r="W20" s="168"/>
      <c r="X20" s="169"/>
      <c r="Y20" s="163"/>
      <c r="Z20" s="163" t="s">
        <v>43</v>
      </c>
      <c r="AA20" s="167" t="s">
        <v>44</v>
      </c>
      <c r="AB20" s="166" t="s">
        <v>45</v>
      </c>
      <c r="AC20" s="187"/>
      <c r="AD20" s="158"/>
      <c r="AE20" s="168"/>
      <c r="AF20" s="183"/>
      <c r="AG20" s="184"/>
      <c r="AH20" s="184"/>
      <c r="AI20" s="169"/>
      <c r="AJ20" s="169"/>
      <c r="AK20" s="169"/>
      <c r="AL20" s="169"/>
      <c r="AO20" s="177" t="s">
        <v>14</v>
      </c>
      <c r="AP20" s="178">
        <v>1</v>
      </c>
      <c r="AR20" s="179" t="s">
        <v>81</v>
      </c>
      <c r="AS20" s="2">
        <v>0.9</v>
      </c>
      <c r="BD20" s="158" t="s">
        <v>239</v>
      </c>
      <c r="BE20" s="158">
        <v>109</v>
      </c>
      <c r="BF20" s="158">
        <v>24.1</v>
      </c>
      <c r="BG20" s="158">
        <v>1.22</v>
      </c>
      <c r="BH20" s="158">
        <v>0.51</v>
      </c>
      <c r="BI20" s="158">
        <v>1.1399999999999999</v>
      </c>
      <c r="BJ20" s="158">
        <v>0</v>
      </c>
      <c r="BK20" s="158">
        <v>16.399999999999999</v>
      </c>
      <c r="BL20" s="158">
        <v>201</v>
      </c>
      <c r="BM20" s="172" t="s">
        <v>240</v>
      </c>
    </row>
    <row r="21" spans="1:65" ht="25.2" customHeight="1">
      <c r="A21" s="36"/>
      <c r="B21" s="69" t="s">
        <v>115</v>
      </c>
      <c r="C21" s="259"/>
      <c r="D21" s="260"/>
      <c r="E21" s="75" t="str">
        <f>IF($C$20&lt;&gt;"",VLOOKUP($C$20,$AU$4:$AV$27,2,0),"")</f>
        <v/>
      </c>
      <c r="F21" s="256" t="str">
        <f>IF($Z$83&lt;0,IF($Z$85&lt;0,$AG$66,$AG$65),"")&amp;"  "</f>
        <v xml:space="preserve">  </v>
      </c>
      <c r="G21" s="257"/>
      <c r="H21" s="257"/>
      <c r="I21" s="257"/>
      <c r="J21" s="257"/>
      <c r="K21" s="257"/>
      <c r="L21" s="258"/>
      <c r="M21" s="97"/>
      <c r="N21" s="154"/>
      <c r="O21" s="97"/>
      <c r="P21" s="97"/>
      <c r="Q21" s="43"/>
      <c r="R21" s="9"/>
      <c r="S21" s="9"/>
      <c r="T21" s="9"/>
      <c r="U21" s="9"/>
      <c r="V21" s="9"/>
      <c r="W21" s="168"/>
      <c r="X21" s="169"/>
      <c r="Y21" s="188" t="s">
        <v>295</v>
      </c>
      <c r="Z21" s="158">
        <f>IF($L$23=100,$AA$21,IF($L$24=100,$AA$22,$AA$23))+$Z$85+$Z$23</f>
        <v>1</v>
      </c>
      <c r="AA21" s="2">
        <f>(1+$Z$54+$Z$56)*$Z$52*AD11</f>
        <v>1</v>
      </c>
      <c r="AB21" s="166" t="s">
        <v>46</v>
      </c>
      <c r="AC21" s="158"/>
      <c r="AD21" s="158"/>
      <c r="AE21" s="168"/>
      <c r="AF21" s="162" t="s">
        <v>105</v>
      </c>
      <c r="AG21" s="162">
        <f>IF($Z$21=3,VLOOKUP($C$20,$AU$4:$AY$27,5,0),0)</f>
        <v>0</v>
      </c>
      <c r="AH21" s="184"/>
      <c r="AI21" s="169"/>
      <c r="AJ21" s="169"/>
      <c r="AK21" s="169"/>
      <c r="AL21" s="169"/>
      <c r="AO21" s="177" t="s">
        <v>15</v>
      </c>
      <c r="AP21" s="178">
        <v>1</v>
      </c>
      <c r="AR21" s="172" t="s">
        <v>425</v>
      </c>
      <c r="AS21" s="158">
        <v>1.1000000000000001</v>
      </c>
      <c r="BD21" s="158" t="s">
        <v>241</v>
      </c>
      <c r="BE21" s="158">
        <v>124</v>
      </c>
      <c r="BF21" s="158">
        <v>28.5</v>
      </c>
      <c r="BG21" s="158">
        <v>1.0900000000000001</v>
      </c>
      <c r="BH21" s="158">
        <v>0.49</v>
      </c>
      <c r="BI21" s="158">
        <v>1.48</v>
      </c>
      <c r="BJ21" s="158">
        <v>0</v>
      </c>
      <c r="BK21" s="158">
        <v>5.42</v>
      </c>
      <c r="BL21" s="158">
        <v>293</v>
      </c>
      <c r="BM21" s="172" t="s">
        <v>242</v>
      </c>
    </row>
    <row r="22" spans="1:65" ht="25.2" customHeight="1">
      <c r="A22" s="36"/>
      <c r="B22" s="69" t="s">
        <v>117</v>
      </c>
      <c r="C22" s="259"/>
      <c r="D22" s="260"/>
      <c r="E22" s="75" t="str">
        <f>IF($C$22&lt;&gt;"",VLOOKUP($C$22,$AU$41:$AV$43,2,0),"")</f>
        <v/>
      </c>
      <c r="F22" s="281" t="s">
        <v>385</v>
      </c>
      <c r="G22" s="294"/>
      <c r="H22" s="294"/>
      <c r="I22" s="295"/>
      <c r="J22" s="358"/>
      <c r="K22" s="359"/>
      <c r="L22" s="60"/>
      <c r="M22" s="97"/>
      <c r="N22" s="154"/>
      <c r="O22" s="97"/>
      <c r="P22" s="97"/>
      <c r="Q22" s="43"/>
      <c r="R22" s="9"/>
      <c r="S22" s="9"/>
      <c r="T22" s="9"/>
      <c r="U22" s="9"/>
      <c r="V22" s="9"/>
      <c r="W22" s="168"/>
      <c r="X22" s="169"/>
      <c r="Y22" s="2"/>
      <c r="Z22" s="7"/>
      <c r="AA22" s="189">
        <f>(1+$Z$55+$Z$56)*$Z$52*AD12</f>
        <v>1</v>
      </c>
      <c r="AB22" s="166" t="s">
        <v>47</v>
      </c>
      <c r="AC22" s="158"/>
      <c r="AD22" s="158"/>
      <c r="AE22" s="168"/>
      <c r="AF22" s="162" t="s">
        <v>106</v>
      </c>
      <c r="AG22" s="162">
        <f>IF($Z$21=3,VLOOKUP($C$20,$AU$4:$AY$27,4,0),0)</f>
        <v>0</v>
      </c>
      <c r="AH22" s="184"/>
      <c r="AI22" s="169"/>
      <c r="AJ22" s="169"/>
      <c r="AK22" s="169"/>
      <c r="AL22" s="169"/>
      <c r="AO22" s="177" t="s">
        <v>320</v>
      </c>
      <c r="AP22" s="178">
        <v>1</v>
      </c>
      <c r="AR22" s="172" t="s">
        <v>85</v>
      </c>
      <c r="AS22" s="158">
        <v>0.8</v>
      </c>
      <c r="BD22" s="158" t="s">
        <v>243</v>
      </c>
      <c r="BE22" s="158">
        <v>189</v>
      </c>
      <c r="BF22" s="158">
        <v>20.399999999999999</v>
      </c>
      <c r="BG22" s="158">
        <v>11.6</v>
      </c>
      <c r="BH22" s="158">
        <v>0.66</v>
      </c>
      <c r="BI22" s="158">
        <v>0.9</v>
      </c>
      <c r="BJ22" s="158">
        <v>0</v>
      </c>
      <c r="BK22" s="158">
        <v>10.3</v>
      </c>
      <c r="BL22" s="158">
        <v>212</v>
      </c>
      <c r="BM22" s="172" t="s">
        <v>244</v>
      </c>
    </row>
    <row r="23" spans="1:65" ht="25.2" customHeight="1">
      <c r="A23" s="36"/>
      <c r="B23" s="69" t="s">
        <v>118</v>
      </c>
      <c r="C23" s="259"/>
      <c r="D23" s="260"/>
      <c r="E23" s="75" t="str">
        <f>IF($AJ$16=1,1,IF($C$23&lt;&gt;"",VLOOKUP($C$23,$AR$41:$AS$45,2,0),""))</f>
        <v/>
      </c>
      <c r="F23" s="61" t="s">
        <v>381</v>
      </c>
      <c r="G23" s="47"/>
      <c r="H23" s="58" t="s">
        <v>378</v>
      </c>
      <c r="I23" s="47"/>
      <c r="J23" s="47" t="s">
        <v>375</v>
      </c>
      <c r="K23" s="33"/>
      <c r="L23" s="62">
        <v>100</v>
      </c>
      <c r="M23" s="97"/>
      <c r="N23" s="154"/>
      <c r="O23" s="97"/>
      <c r="P23" s="97"/>
      <c r="Q23" s="43"/>
      <c r="R23" s="9"/>
      <c r="S23" s="9"/>
      <c r="T23" s="9"/>
      <c r="U23" s="9"/>
      <c r="V23" s="9"/>
      <c r="W23" s="168"/>
      <c r="X23" s="169"/>
      <c r="Y23" s="173"/>
      <c r="Z23" s="173">
        <f>IF($H$23&lt;&gt;"",0,-1)</f>
        <v>0</v>
      </c>
      <c r="AA23" s="189">
        <f>($Z$54+$Z$55+$Z$56)*$Z$52*AD11*AD12</f>
        <v>0</v>
      </c>
      <c r="AB23" s="166" t="s">
        <v>48</v>
      </c>
      <c r="AC23" s="158"/>
      <c r="AD23" s="158"/>
      <c r="AE23" s="168"/>
      <c r="AF23" s="162" t="s">
        <v>107</v>
      </c>
      <c r="AG23" s="162">
        <f>$AA$36</f>
        <v>0</v>
      </c>
      <c r="AH23" s="184"/>
      <c r="AI23" s="169"/>
      <c r="AJ23" s="169"/>
      <c r="AK23" s="169"/>
      <c r="AL23" s="169"/>
      <c r="AO23" s="177" t="s">
        <v>16</v>
      </c>
      <c r="AP23" s="178">
        <v>1</v>
      </c>
      <c r="AR23" s="179" t="s">
        <v>398</v>
      </c>
      <c r="AS23" s="2">
        <v>1.1000000000000001</v>
      </c>
      <c r="BD23" s="158" t="s">
        <v>245</v>
      </c>
      <c r="BE23" s="158">
        <v>167</v>
      </c>
      <c r="BF23" s="158">
        <v>20.5</v>
      </c>
      <c r="BG23" s="158">
        <v>9.1999999999999993</v>
      </c>
      <c r="BH23" s="158">
        <v>0.5</v>
      </c>
      <c r="BI23" s="158">
        <v>1.1000000000000001</v>
      </c>
      <c r="BJ23" s="158">
        <v>0</v>
      </c>
      <c r="BK23" s="158">
        <v>13.5</v>
      </c>
      <c r="BL23" s="158">
        <v>200</v>
      </c>
      <c r="BM23" s="172" t="s">
        <v>246</v>
      </c>
    </row>
    <row r="24" spans="1:65" ht="25.2" customHeight="1">
      <c r="A24" s="36"/>
      <c r="B24" s="69" t="s">
        <v>119</v>
      </c>
      <c r="C24" s="259"/>
      <c r="D24" s="260"/>
      <c r="E24" s="75" t="str">
        <f>IF($C$24&lt;&gt;"",VLOOKUP($C$24,$AR$28:$AS$31,2,0),"")</f>
        <v/>
      </c>
      <c r="F24" s="63" t="s">
        <v>384</v>
      </c>
      <c r="G24" s="48"/>
      <c r="H24" s="48"/>
      <c r="I24" s="48"/>
      <c r="J24" s="48" t="s">
        <v>376</v>
      </c>
      <c r="K24" s="48"/>
      <c r="L24" s="64">
        <f>IF($Z$53&gt;0,100-$L$23,0)</f>
        <v>0</v>
      </c>
      <c r="M24" s="97"/>
      <c r="N24" s="154"/>
      <c r="O24" s="97"/>
      <c r="P24" s="97"/>
      <c r="Q24" s="43"/>
      <c r="R24" s="9"/>
      <c r="S24" s="9"/>
      <c r="T24" s="9"/>
      <c r="U24" s="9"/>
      <c r="V24" s="9"/>
      <c r="W24" s="168"/>
      <c r="X24" s="169"/>
      <c r="Y24" s="173"/>
      <c r="Z24" s="163" t="s">
        <v>380</v>
      </c>
      <c r="AA24" s="169"/>
      <c r="AB24" s="275"/>
      <c r="AC24" s="275"/>
      <c r="AD24" s="158"/>
      <c r="AE24" s="168"/>
      <c r="AF24" s="162" t="s">
        <v>108</v>
      </c>
      <c r="AG24" s="162">
        <f>IF($AG$23&lt;$AG$22,2,IF($AG$23&lt;$AG$21,1,0))</f>
        <v>0</v>
      </c>
      <c r="AH24" s="184"/>
      <c r="AI24" s="169"/>
      <c r="AJ24" s="169"/>
      <c r="AK24" s="169"/>
      <c r="AL24" s="169"/>
      <c r="AO24" s="177" t="s">
        <v>17</v>
      </c>
      <c r="AP24" s="178">
        <v>1</v>
      </c>
      <c r="AR24" s="179" t="s">
        <v>83</v>
      </c>
      <c r="AS24" s="2">
        <v>1.1000000000000001</v>
      </c>
      <c r="BD24" s="158" t="s">
        <v>247</v>
      </c>
      <c r="BE24" s="158">
        <v>198</v>
      </c>
      <c r="BF24" s="158">
        <v>18</v>
      </c>
      <c r="BG24" s="158">
        <v>14</v>
      </c>
      <c r="BH24" s="158">
        <v>0.1</v>
      </c>
      <c r="BI24" s="158">
        <v>1</v>
      </c>
      <c r="BJ24" s="158">
        <v>0</v>
      </c>
      <c r="BK24" s="158">
        <v>5</v>
      </c>
      <c r="BL24" s="158">
        <v>148</v>
      </c>
      <c r="BM24" s="172" t="s">
        <v>248</v>
      </c>
    </row>
    <row r="25" spans="1:65" ht="25.2" customHeight="1">
      <c r="A25" s="36"/>
      <c r="B25" s="67" t="s">
        <v>120</v>
      </c>
      <c r="C25" s="259"/>
      <c r="D25" s="260"/>
      <c r="E25" s="75" t="str">
        <f>IF($C$25&lt;&gt;"",VLOOKUP($C$25,$AR$19:$AS$25,2,0),"")</f>
        <v/>
      </c>
      <c r="F25" s="296" t="str">
        <f>IF($Z59&gt;0,IF($AC$55=8,IF($L$23&lt;&gt;"",$AG$60,""),""),"")</f>
        <v/>
      </c>
      <c r="G25" s="297"/>
      <c r="H25" s="297"/>
      <c r="I25" s="297"/>
      <c r="J25" s="297"/>
      <c r="K25" s="297"/>
      <c r="L25" s="298"/>
      <c r="M25" s="97"/>
      <c r="N25" s="154"/>
      <c r="O25" s="97"/>
      <c r="P25" s="97"/>
      <c r="Q25" s="43"/>
      <c r="R25" s="9"/>
      <c r="S25" s="9"/>
      <c r="T25" s="9"/>
      <c r="U25" s="9"/>
      <c r="V25" s="9"/>
      <c r="W25" s="168"/>
      <c r="X25" s="169"/>
      <c r="Y25" s="173"/>
      <c r="Z25" s="190"/>
      <c r="AA25" s="169"/>
      <c r="AB25" s="166"/>
      <c r="AC25" s="158"/>
      <c r="AD25" s="158"/>
      <c r="AE25" s="168"/>
      <c r="AF25" s="183"/>
      <c r="AG25" s="184"/>
      <c r="AH25" s="184"/>
      <c r="AI25" s="169"/>
      <c r="AJ25" s="169"/>
      <c r="AK25" s="169"/>
      <c r="AL25" s="169"/>
      <c r="AO25" s="177" t="s">
        <v>321</v>
      </c>
      <c r="AP25" s="178">
        <v>1</v>
      </c>
      <c r="AR25" s="179" t="s">
        <v>84</v>
      </c>
      <c r="AS25" s="2">
        <v>1.2</v>
      </c>
      <c r="BD25" s="158" t="s">
        <v>249</v>
      </c>
      <c r="BE25" s="158">
        <v>178</v>
      </c>
      <c r="BF25" s="158">
        <v>18.899999999999999</v>
      </c>
      <c r="BG25" s="158">
        <v>11.2</v>
      </c>
      <c r="BH25" s="158">
        <v>0.38</v>
      </c>
      <c r="BI25" s="158">
        <v>0.92</v>
      </c>
      <c r="BJ25" s="158">
        <v>0</v>
      </c>
      <c r="BK25" s="158">
        <v>10.7</v>
      </c>
      <c r="BL25" s="158">
        <v>191</v>
      </c>
      <c r="BM25" s="172" t="s">
        <v>250</v>
      </c>
    </row>
    <row r="26" spans="1:65" ht="18" customHeight="1">
      <c r="A26" s="36"/>
      <c r="B26" s="309"/>
      <c r="C26" s="289"/>
      <c r="D26" s="310"/>
      <c r="E26" s="76"/>
      <c r="F26" s="49"/>
      <c r="G26" s="50"/>
      <c r="H26" s="50"/>
      <c r="I26" s="50"/>
      <c r="J26" s="50"/>
      <c r="K26" s="50"/>
      <c r="L26" s="51"/>
      <c r="M26" s="97"/>
      <c r="N26" s="97"/>
      <c r="O26" s="97"/>
      <c r="P26" s="97"/>
      <c r="Q26" s="43"/>
      <c r="R26" s="9"/>
      <c r="S26" s="9"/>
      <c r="T26" s="9"/>
      <c r="U26" s="9"/>
      <c r="V26" s="9"/>
      <c r="W26" s="168"/>
      <c r="X26" s="169"/>
      <c r="Y26" s="173"/>
      <c r="Z26" s="190"/>
      <c r="AA26" s="168"/>
      <c r="AB26" s="164"/>
      <c r="AC26" s="7"/>
      <c r="AD26" s="158"/>
      <c r="AE26" s="168"/>
      <c r="AF26" s="168"/>
      <c r="AG26" s="169"/>
      <c r="AH26" s="169"/>
      <c r="AI26" s="169"/>
      <c r="AJ26" s="169"/>
      <c r="AK26" s="169"/>
      <c r="AL26" s="169"/>
      <c r="AO26" s="177" t="s">
        <v>18</v>
      </c>
      <c r="AP26" s="178">
        <v>1</v>
      </c>
      <c r="BD26" s="158" t="s">
        <v>251</v>
      </c>
      <c r="BE26" s="158">
        <v>253</v>
      </c>
      <c r="BF26" s="158">
        <v>30</v>
      </c>
      <c r="BG26" s="158">
        <v>14.8</v>
      </c>
      <c r="BH26" s="158">
        <v>0</v>
      </c>
      <c r="BI26" s="158">
        <v>1.18</v>
      </c>
      <c r="BJ26" s="158">
        <v>0</v>
      </c>
      <c r="BK26" s="158">
        <v>18</v>
      </c>
      <c r="BL26" s="158">
        <v>195</v>
      </c>
      <c r="BM26" s="172" t="s">
        <v>252</v>
      </c>
    </row>
    <row r="27" spans="1:65" ht="25.2" customHeight="1">
      <c r="A27" s="36"/>
      <c r="B27" s="311"/>
      <c r="C27" s="312"/>
      <c r="D27" s="313"/>
      <c r="E27" s="77"/>
      <c r="F27" s="323" t="s">
        <v>157</v>
      </c>
      <c r="G27" s="324"/>
      <c r="H27" s="324"/>
      <c r="I27" s="324"/>
      <c r="J27" s="324"/>
      <c r="K27" s="324"/>
      <c r="L27" s="325"/>
      <c r="M27" s="97"/>
      <c r="N27" s="97"/>
      <c r="O27" s="97"/>
      <c r="P27" s="97"/>
      <c r="Q27" s="43"/>
      <c r="R27" s="9"/>
      <c r="S27" s="9"/>
      <c r="T27" s="9"/>
      <c r="U27" s="9"/>
      <c r="V27" s="9"/>
      <c r="W27" s="168"/>
      <c r="X27" s="169"/>
      <c r="Y27" s="235" t="s">
        <v>76</v>
      </c>
      <c r="Z27" s="236"/>
      <c r="AA27" s="236"/>
      <c r="AB27" s="236"/>
      <c r="AC27" s="238"/>
      <c r="AD27" s="238"/>
      <c r="AE27" s="238"/>
      <c r="AF27" s="238"/>
      <c r="AG27" s="169"/>
      <c r="AH27" s="169"/>
      <c r="AI27" s="169"/>
      <c r="AJ27" s="169"/>
      <c r="AK27" s="169"/>
      <c r="AL27" s="169"/>
      <c r="AO27" s="177" t="s">
        <v>322</v>
      </c>
      <c r="AP27" s="178">
        <v>1</v>
      </c>
      <c r="AR27" s="329" t="s">
        <v>8</v>
      </c>
      <c r="AS27" s="330"/>
      <c r="BD27" s="158" t="s">
        <v>253</v>
      </c>
      <c r="BE27" s="158">
        <v>117</v>
      </c>
      <c r="BF27" s="158">
        <v>21.2</v>
      </c>
      <c r="BG27" s="158">
        <v>3.6</v>
      </c>
      <c r="BH27" s="158">
        <v>0</v>
      </c>
      <c r="BI27" s="158">
        <v>1.1000000000000001</v>
      </c>
      <c r="BJ27" s="158">
        <v>0</v>
      </c>
      <c r="BK27" s="158">
        <v>6.38</v>
      </c>
      <c r="BL27" s="158">
        <v>237</v>
      </c>
      <c r="BM27" s="172" t="s">
        <v>254</v>
      </c>
    </row>
    <row r="28" spans="1:65" ht="25.2" customHeight="1">
      <c r="A28" s="36"/>
      <c r="B28" s="317" t="str">
        <f>IF($AC$55=8,"Le Besoin Energétique de votre chat","")</f>
        <v/>
      </c>
      <c r="C28" s="318"/>
      <c r="D28" s="319"/>
      <c r="E28" s="77"/>
      <c r="F28" s="217"/>
      <c r="G28" s="294"/>
      <c r="H28" s="294"/>
      <c r="I28" s="294"/>
      <c r="J28" s="31"/>
      <c r="K28" s="56"/>
      <c r="L28" s="81"/>
      <c r="M28" s="97"/>
      <c r="N28" s="97"/>
      <c r="O28" s="97"/>
      <c r="P28" s="97"/>
      <c r="Q28" s="43"/>
      <c r="R28" s="9"/>
      <c r="S28" s="9"/>
      <c r="T28" s="9"/>
      <c r="U28" s="9"/>
      <c r="V28" s="9"/>
      <c r="W28" s="168"/>
      <c r="X28" s="169"/>
      <c r="Y28" s="172" t="s">
        <v>77</v>
      </c>
      <c r="Z28" s="191">
        <f>IF(Z21=3,$Z$16/100*$I$13,0)</f>
        <v>0</v>
      </c>
      <c r="AA28" s="180" t="s">
        <v>291</v>
      </c>
      <c r="AB28" s="192">
        <f>IF(Z21=3,$AH$75,0)</f>
        <v>0</v>
      </c>
      <c r="AC28" s="173">
        <f>IF(Z21=3,$AH$78,0)</f>
        <v>0</v>
      </c>
      <c r="AD28" s="193"/>
      <c r="AE28" s="180" t="s">
        <v>79</v>
      </c>
      <c r="AF28" s="2">
        <f>IF(Z21=3,ROUNDUP((45*$C$15)+(2*$Z$16)-$AC$28,0),0)</f>
        <v>0</v>
      </c>
      <c r="AG28" s="169"/>
      <c r="AH28" s="169"/>
      <c r="AI28" s="169"/>
      <c r="AJ28" s="169"/>
      <c r="AK28" s="169"/>
      <c r="AL28" s="169"/>
      <c r="AO28" s="177" t="s">
        <v>19</v>
      </c>
      <c r="AP28" s="178">
        <v>1</v>
      </c>
      <c r="AR28" s="180" t="s">
        <v>29</v>
      </c>
      <c r="AS28" s="2">
        <v>1</v>
      </c>
      <c r="BD28" s="158" t="s">
        <v>255</v>
      </c>
      <c r="BE28" s="158">
        <v>198</v>
      </c>
      <c r="BF28" s="158">
        <v>28.3</v>
      </c>
      <c r="BG28" s="158">
        <v>9.39</v>
      </c>
      <c r="BH28" s="158">
        <v>0</v>
      </c>
      <c r="BI28" s="158">
        <v>1.88</v>
      </c>
      <c r="BJ28" s="158">
        <v>0</v>
      </c>
      <c r="BK28" s="158">
        <v>5.5</v>
      </c>
      <c r="BL28" s="158">
        <v>281</v>
      </c>
      <c r="BM28" s="172" t="s">
        <v>256</v>
      </c>
    </row>
    <row r="29" spans="1:65" ht="25.2" customHeight="1">
      <c r="A29" s="36"/>
      <c r="B29" s="70">
        <f>IF($AC$55=8,ROUND($AB$33,0),0)</f>
        <v>0</v>
      </c>
      <c r="C29" s="19" t="str">
        <f>IF($AC$55=8,ROUND($B$29,0)&amp;" kcal par jour","")</f>
        <v/>
      </c>
      <c r="D29" s="71"/>
      <c r="E29" s="77"/>
      <c r="F29" s="217" t="str">
        <f>IF($Z$21=3," Quantité de CROQUETTES théorique à donner par jour","")</f>
        <v/>
      </c>
      <c r="G29" s="218"/>
      <c r="H29" s="218"/>
      <c r="I29" s="219"/>
      <c r="J29" s="220" t="str">
        <f>IF($Z$21=3,IF($L$23&gt;0,$Z$16&amp;" g","-"),"")</f>
        <v/>
      </c>
      <c r="K29" s="221"/>
      <c r="L29" s="81"/>
      <c r="M29" s="97"/>
      <c r="N29" s="97"/>
      <c r="O29" s="97"/>
      <c r="P29" s="97"/>
      <c r="Q29" s="43"/>
      <c r="R29" s="9"/>
      <c r="S29" s="9"/>
      <c r="T29" s="9"/>
      <c r="U29" s="9"/>
      <c r="V29" s="9"/>
      <c r="W29" s="168"/>
      <c r="X29" s="169"/>
      <c r="Y29" s="194" t="s">
        <v>78</v>
      </c>
      <c r="Z29" s="195">
        <f>IF(Z21=3,$Z$17/100*$K$13,0)</f>
        <v>0</v>
      </c>
      <c r="AA29" s="194"/>
      <c r="AB29" s="195"/>
      <c r="AC29" s="168"/>
      <c r="AD29" s="169"/>
      <c r="AE29" s="180"/>
      <c r="AF29" s="2"/>
      <c r="AG29" s="169"/>
      <c r="AH29" s="169"/>
      <c r="AI29" s="169"/>
      <c r="AJ29" s="169"/>
      <c r="AK29" s="169"/>
      <c r="AL29" s="169"/>
      <c r="AO29" s="177" t="s">
        <v>323</v>
      </c>
      <c r="AP29" s="178">
        <v>1</v>
      </c>
      <c r="AR29" s="180" t="s">
        <v>30</v>
      </c>
      <c r="AS29" s="2">
        <v>1.05</v>
      </c>
      <c r="BD29" s="158" t="s">
        <v>286</v>
      </c>
      <c r="BE29" s="158">
        <v>114</v>
      </c>
      <c r="BF29" s="158">
        <v>19.3</v>
      </c>
      <c r="BG29" s="158">
        <v>4.05</v>
      </c>
      <c r="BH29" s="158">
        <v>0</v>
      </c>
      <c r="BI29" s="158">
        <v>0.98</v>
      </c>
      <c r="BJ29" s="158">
        <v>0</v>
      </c>
      <c r="BK29" s="158">
        <v>10.3</v>
      </c>
      <c r="BL29" s="158">
        <v>173</v>
      </c>
      <c r="BM29" s="172" t="s">
        <v>292</v>
      </c>
    </row>
    <row r="30" spans="1:65" ht="25.2" customHeight="1">
      <c r="A30" s="36"/>
      <c r="B30" s="304" t="str">
        <f>IF($AC$55=8,IF($C$20=$AU$6,"Mieux vaut laisser votre chaton avec sa 
gamelle à volonté jusqu’à ses 4 mois",""),"")</f>
        <v/>
      </c>
      <c r="C30" s="305"/>
      <c r="D30" s="306"/>
      <c r="E30" s="77"/>
      <c r="F30" s="217" t="str">
        <f>IF($Z$21=3," Quantité de PÂTEE théorique à donner par jour","")</f>
        <v/>
      </c>
      <c r="G30" s="218"/>
      <c r="H30" s="218"/>
      <c r="I30" s="219"/>
      <c r="J30" s="220" t="str">
        <f>IF($Z$21=3,IF($L$24&gt;0,$Z$17&amp;" g","-"),"")</f>
        <v/>
      </c>
      <c r="K30" s="221"/>
      <c r="L30" s="81"/>
      <c r="M30" s="97"/>
      <c r="N30" s="97"/>
      <c r="O30" s="97"/>
      <c r="P30" s="97"/>
      <c r="Q30" s="43"/>
      <c r="R30" s="9"/>
      <c r="S30" s="9"/>
      <c r="T30" s="9"/>
      <c r="U30" s="9"/>
      <c r="V30" s="9"/>
      <c r="W30" s="168"/>
      <c r="X30" s="169"/>
      <c r="Y30" s="194"/>
      <c r="Z30" s="195"/>
      <c r="AA30" s="194"/>
      <c r="AB30" s="195"/>
      <c r="AC30" s="168"/>
      <c r="AD30" s="169"/>
      <c r="AE30" s="169"/>
      <c r="AF30" s="235" t="s">
        <v>347</v>
      </c>
      <c r="AG30" s="236"/>
      <c r="AH30" s="236"/>
      <c r="AI30" s="236"/>
      <c r="AJ30" s="236"/>
      <c r="AK30" s="236"/>
      <c r="AL30" s="236"/>
      <c r="AO30" s="177" t="s">
        <v>324</v>
      </c>
      <c r="AP30" s="178">
        <v>1</v>
      </c>
      <c r="AR30" s="180" t="s">
        <v>31</v>
      </c>
      <c r="AS30" s="2">
        <v>1.1818181818181817</v>
      </c>
      <c r="BD30" s="158" t="s">
        <v>287</v>
      </c>
      <c r="BE30" s="158">
        <v>188</v>
      </c>
      <c r="BF30" s="158">
        <v>24.8</v>
      </c>
      <c r="BG30" s="158">
        <v>9.52</v>
      </c>
      <c r="BH30" s="158">
        <v>0.7</v>
      </c>
      <c r="BI30" s="158">
        <v>1.03</v>
      </c>
      <c r="BJ30" s="158">
        <v>0</v>
      </c>
      <c r="BK30" s="158">
        <v>5.8</v>
      </c>
      <c r="BL30" s="158">
        <v>164</v>
      </c>
      <c r="BM30" s="172" t="s">
        <v>293</v>
      </c>
    </row>
    <row r="31" spans="1:65" ht="25.2" customHeight="1">
      <c r="A31" s="36"/>
      <c r="B31" s="307"/>
      <c r="C31" s="305"/>
      <c r="D31" s="306"/>
      <c r="E31" s="72"/>
      <c r="F31" s="239" t="str">
        <f>IF($Z$21=3," "&amp;VLOOKUP($C$20,$AU$4:$AW$27,3,0),"")</f>
        <v/>
      </c>
      <c r="G31" s="240"/>
      <c r="H31" s="240"/>
      <c r="I31" s="219"/>
      <c r="J31" s="241" t="str">
        <f>IF($Z$21=3,IF($AF$28&gt;0,$AF$28&amp;" ml",0),"")</f>
        <v/>
      </c>
      <c r="K31" s="242"/>
      <c r="L31" s="81"/>
      <c r="M31" s="97"/>
      <c r="N31" s="97"/>
      <c r="O31" s="97"/>
      <c r="P31" s="97"/>
      <c r="Q31" s="43"/>
      <c r="R31" s="9"/>
      <c r="S31" s="9"/>
      <c r="T31" s="9"/>
      <c r="U31" s="9"/>
      <c r="V31" s="9"/>
      <c r="W31" s="168"/>
      <c r="X31" s="169"/>
      <c r="Y31" s="235" t="s">
        <v>40</v>
      </c>
      <c r="Z31" s="236"/>
      <c r="AA31" s="236"/>
      <c r="AB31" s="236"/>
      <c r="AC31" s="238"/>
      <c r="AD31" s="169"/>
      <c r="AE31" s="169"/>
      <c r="AF31" s="2" t="s">
        <v>109</v>
      </c>
      <c r="AG31" s="338" t="str">
        <f>IF($Z$21=3,"Les protéines sont en dessous du minimum vital ("&amp;AG22&amp;" g/kg)","")</f>
        <v/>
      </c>
      <c r="AH31" s="339"/>
      <c r="AI31" s="339"/>
      <c r="AJ31" s="339"/>
      <c r="AK31" s="339"/>
      <c r="AL31" s="339"/>
      <c r="AO31" s="177" t="s">
        <v>325</v>
      </c>
      <c r="AP31" s="178">
        <v>1</v>
      </c>
      <c r="AR31" s="180"/>
      <c r="AS31" s="2"/>
      <c r="BD31" s="158" t="s">
        <v>257</v>
      </c>
      <c r="BE31" s="158">
        <v>108</v>
      </c>
      <c r="BF31" s="158">
        <v>23.5</v>
      </c>
      <c r="BG31" s="158">
        <v>1.34</v>
      </c>
      <c r="BH31" s="158">
        <v>0.45</v>
      </c>
      <c r="BI31" s="158">
        <v>1.92</v>
      </c>
      <c r="BJ31" s="158">
        <v>0</v>
      </c>
      <c r="BK31" s="158">
        <v>8</v>
      </c>
      <c r="BL31" s="158">
        <v>218</v>
      </c>
      <c r="BM31" s="172" t="s">
        <v>258</v>
      </c>
    </row>
    <row r="32" spans="1:65" ht="25.2" customHeight="1">
      <c r="A32" s="36"/>
      <c r="B32" s="307"/>
      <c r="C32" s="305"/>
      <c r="D32" s="306"/>
      <c r="E32" s="72"/>
      <c r="F32" s="239" t="str">
        <f>IF($AC$67=1," Quantité "&amp;$AH$82&amp;" à ajouter","")</f>
        <v/>
      </c>
      <c r="G32" s="308"/>
      <c r="H32" s="308"/>
      <c r="I32" s="308"/>
      <c r="J32" s="220" t="str">
        <f>IF($AC$67=1,$L$22&amp;" g","")</f>
        <v/>
      </c>
      <c r="K32" s="221"/>
      <c r="L32" s="82"/>
      <c r="M32" s="97"/>
      <c r="N32" s="97"/>
      <c r="O32" s="97"/>
      <c r="P32" s="97"/>
      <c r="Q32" s="43"/>
      <c r="R32" s="9"/>
      <c r="S32" s="9"/>
      <c r="T32" s="9"/>
      <c r="U32" s="9"/>
      <c r="V32" s="9"/>
      <c r="W32" s="168"/>
      <c r="X32" s="169"/>
      <c r="Y32" s="180"/>
      <c r="Z32" s="197" t="s">
        <v>38</v>
      </c>
      <c r="AA32" s="173">
        <f>IF($AC$55=8,ROUND($AA$33*$AA$34,2),0)</f>
        <v>0</v>
      </c>
      <c r="AB32" s="174"/>
      <c r="AC32" s="367"/>
      <c r="AD32" s="169"/>
      <c r="AE32" s="169"/>
      <c r="AF32" s="2" t="s">
        <v>110</v>
      </c>
      <c r="AG32" s="338" t="str">
        <f>IF($Z$21=3,"Les protéines sont entre le minimum idéal ("&amp;AG21&amp;" g/kg) et le minimum vital ("&amp;AG22&amp;" g/kg)","")</f>
        <v/>
      </c>
      <c r="AH32" s="339"/>
      <c r="AI32" s="339"/>
      <c r="AJ32" s="339"/>
      <c r="AK32" s="339"/>
      <c r="AL32" s="339"/>
      <c r="AO32" s="177" t="s">
        <v>20</v>
      </c>
      <c r="AP32" s="178">
        <v>1</v>
      </c>
      <c r="AR32" s="180"/>
      <c r="AS32" s="2"/>
      <c r="BD32" s="158" t="s">
        <v>200</v>
      </c>
      <c r="BE32" s="158">
        <v>137</v>
      </c>
      <c r="BF32" s="158">
        <v>29.2</v>
      </c>
      <c r="BG32" s="158">
        <v>1.76</v>
      </c>
      <c r="BH32" s="158">
        <v>1.2</v>
      </c>
      <c r="BI32" s="158">
        <v>1.88</v>
      </c>
      <c r="BJ32" s="158">
        <v>0</v>
      </c>
      <c r="BK32" s="158">
        <v>12.9</v>
      </c>
      <c r="BL32" s="158">
        <v>224</v>
      </c>
      <c r="BM32" s="172" t="s">
        <v>259</v>
      </c>
    </row>
    <row r="33" spans="1:65" ht="35.200000000000003" customHeight="1">
      <c r="A33" s="36"/>
      <c r="B33" s="326"/>
      <c r="C33" s="327"/>
      <c r="D33" s="328"/>
      <c r="E33" s="72"/>
      <c r="F33" s="314" t="str">
        <f>IF($Z$21=3,IF($AG$24=2,$AG$31,IF($AG$24=1,$AG$32,$AG$67))," ")</f>
        <v xml:space="preserve"> </v>
      </c>
      <c r="G33" s="315"/>
      <c r="H33" s="315"/>
      <c r="I33" s="315"/>
      <c r="J33" s="315"/>
      <c r="K33" s="315"/>
      <c r="L33" s="316"/>
      <c r="M33" s="97"/>
      <c r="N33" s="97"/>
      <c r="O33" s="97"/>
      <c r="P33" s="97"/>
      <c r="Q33" s="43"/>
      <c r="R33" s="9"/>
      <c r="S33" s="9"/>
      <c r="T33" s="9"/>
      <c r="U33" s="9"/>
      <c r="V33" s="9"/>
      <c r="W33" s="168"/>
      <c r="X33" s="169"/>
      <c r="Y33" s="332" t="s">
        <v>427</v>
      </c>
      <c r="Z33" s="333"/>
      <c r="AA33" s="193">
        <f>100*($C$15^0.667)</f>
        <v>0</v>
      </c>
      <c r="AB33" s="174">
        <f>IF($AA$32&lt;($AA$33/2),ROUND($AA$33/2,2),ROUND($AA$32,2))</f>
        <v>0</v>
      </c>
      <c r="AC33" s="225"/>
      <c r="AD33" s="169"/>
      <c r="AE33" s="169"/>
      <c r="AF33" s="2" t="s">
        <v>348</v>
      </c>
      <c r="AG33" s="338" t="str">
        <f>IF($Z$21=3,"Certaines valeurs nutritionnelles sont proches des limites recommandées","")</f>
        <v/>
      </c>
      <c r="AH33" s="339"/>
      <c r="AI33" s="339"/>
      <c r="AJ33" s="339"/>
      <c r="AK33" s="339"/>
      <c r="AL33" s="339"/>
      <c r="AO33" s="177" t="s">
        <v>326</v>
      </c>
      <c r="AP33" s="178">
        <v>1</v>
      </c>
      <c r="AR33" s="180"/>
      <c r="AS33" s="2"/>
      <c r="BD33" s="158" t="s">
        <v>260</v>
      </c>
      <c r="BE33" s="158">
        <v>133</v>
      </c>
      <c r="BF33" s="158">
        <v>19.8</v>
      </c>
      <c r="BG33" s="158">
        <v>5.92</v>
      </c>
      <c r="BH33" s="158">
        <v>1E-3</v>
      </c>
      <c r="BI33" s="158">
        <v>0.9</v>
      </c>
      <c r="BJ33" s="158">
        <v>0</v>
      </c>
      <c r="BK33" s="158">
        <v>10</v>
      </c>
      <c r="BL33" s="158">
        <v>171</v>
      </c>
      <c r="BM33" s="172" t="s">
        <v>261</v>
      </c>
    </row>
    <row r="34" spans="1:65" ht="25.2" customHeight="1">
      <c r="A34" s="36"/>
      <c r="B34" s="301" t="s">
        <v>345</v>
      </c>
      <c r="C34" s="302"/>
      <c r="D34" s="303"/>
      <c r="E34" s="78"/>
      <c r="F34" s="299" t="str">
        <f>IF($Z$21=3,"     Données nutritionnelles","")</f>
        <v/>
      </c>
      <c r="G34" s="300"/>
      <c r="H34" s="28" t="str">
        <f>IF($Z$21=3,"          "&amp;ROUNDDOWN($Z$78,0)&amp;" kcal","")</f>
        <v/>
      </c>
      <c r="I34" s="28" t="str">
        <f>IF($Z$21=3,"  Protéines : "&amp;$AA$36&amp; " g/kg","")</f>
        <v/>
      </c>
      <c r="J34" s="29" t="str">
        <f>IF($Z$21=3,"      RPC : "&amp;$AC$16&amp;"      ","")</f>
        <v/>
      </c>
      <c r="K34" s="27" t="str">
        <f>IF($Z$21=3,IF($AG$18+$AG$19=4,"     Ca/P : "&amp;ROUND($AG$81,2),"  Ca/P :  -  "),"")</f>
        <v/>
      </c>
      <c r="L34" s="83" t="str">
        <f>IF($Z$21=3,"Humidité : "&amp;$AB$36&amp;" %","")</f>
        <v/>
      </c>
      <c r="M34" s="97"/>
      <c r="N34" s="97"/>
      <c r="O34" s="97"/>
      <c r="P34" s="97"/>
      <c r="Q34" s="43"/>
      <c r="R34" s="9"/>
      <c r="S34" s="9"/>
      <c r="T34" s="9"/>
      <c r="U34" s="9"/>
      <c r="V34" s="9"/>
      <c r="W34" s="168"/>
      <c r="X34" s="169"/>
      <c r="Y34" s="334" t="s">
        <v>39</v>
      </c>
      <c r="Z34" s="333"/>
      <c r="AA34" s="2">
        <f>IF($AC$55=8,$E$19*$E$20*$E$21*$E$22*$E$23*$E$24*$E$25,0)</f>
        <v>0</v>
      </c>
      <c r="AB34" s="165"/>
      <c r="AC34" s="225"/>
      <c r="AD34" s="169"/>
      <c r="AE34" s="169"/>
      <c r="AF34" s="2" t="s">
        <v>349</v>
      </c>
      <c r="AG34" s="338" t="str">
        <f>IF($Z$21=3,"Certaines valeurs nutritionnelles dépassent les limites recommandées","")</f>
        <v/>
      </c>
      <c r="AH34" s="339"/>
      <c r="AI34" s="339"/>
      <c r="AJ34" s="339"/>
      <c r="AK34" s="339"/>
      <c r="AL34" s="339"/>
      <c r="AO34" s="177" t="s">
        <v>327</v>
      </c>
      <c r="AP34" s="178">
        <v>1</v>
      </c>
      <c r="BD34" s="158" t="s">
        <v>262</v>
      </c>
      <c r="BE34" s="158">
        <v>233</v>
      </c>
      <c r="BF34" s="158">
        <v>34.9</v>
      </c>
      <c r="BG34" s="158">
        <v>10.4</v>
      </c>
      <c r="BH34" s="158">
        <v>1E-3</v>
      </c>
      <c r="BI34" s="158">
        <v>1</v>
      </c>
      <c r="BJ34" s="158">
        <v>0</v>
      </c>
      <c r="BK34" s="158">
        <v>10.8</v>
      </c>
      <c r="BL34" s="158">
        <v>180</v>
      </c>
      <c r="BM34" s="172" t="s">
        <v>263</v>
      </c>
    </row>
    <row r="35" spans="1:65" ht="25.2" customHeight="1">
      <c r="A35" s="36"/>
      <c r="B35" s="226" t="s">
        <v>357</v>
      </c>
      <c r="C35" s="227"/>
      <c r="D35" s="228"/>
      <c r="E35" s="79"/>
      <c r="F35" s="84" t="s">
        <v>49</v>
      </c>
      <c r="G35" s="26" t="s">
        <v>50</v>
      </c>
      <c r="H35" s="26" t="s">
        <v>51</v>
      </c>
      <c r="I35" s="26" t="s">
        <v>52</v>
      </c>
      <c r="J35" s="26" t="s">
        <v>128</v>
      </c>
      <c r="K35" s="26" t="s">
        <v>129</v>
      </c>
      <c r="L35" s="85" t="s">
        <v>130</v>
      </c>
      <c r="M35" s="97"/>
      <c r="N35" s="97"/>
      <c r="O35" s="97"/>
      <c r="P35" s="97"/>
      <c r="Q35" s="43"/>
      <c r="R35" s="9"/>
      <c r="S35" s="9"/>
      <c r="T35" s="9"/>
      <c r="U35" s="9"/>
      <c r="V35" s="9"/>
      <c r="W35" s="168"/>
      <c r="X35" s="169"/>
      <c r="Y35" s="332" t="s">
        <v>428</v>
      </c>
      <c r="Z35" s="333"/>
      <c r="AA35" s="2">
        <f>IF($AC$55=8,ROUND($AA$34*$B$29/1000,2),0)</f>
        <v>0</v>
      </c>
      <c r="AB35" s="165">
        <f>IF($AC$55=8,$AB$33/100*10,0)</f>
        <v>0</v>
      </c>
      <c r="AC35" s="225"/>
      <c r="AD35" s="169"/>
      <c r="AE35" s="169"/>
      <c r="AF35" s="2" t="s">
        <v>352</v>
      </c>
      <c r="AG35" s="2" t="s">
        <v>346</v>
      </c>
      <c r="AH35" s="2">
        <f>SUM($AH$37:$AH$44)+SUM($AK$37:$AK$44)</f>
        <v>0</v>
      </c>
      <c r="AI35" s="2">
        <f>SUM($AI$37:$AI$44)+SUM($AL$37:$AL$44)</f>
        <v>0</v>
      </c>
      <c r="AJ35" s="2">
        <f>IF($AI$35&gt;0,2,IF($AH$35&gt;0,1,0))</f>
        <v>0</v>
      </c>
      <c r="AK35" s="2" t="s">
        <v>350</v>
      </c>
      <c r="AL35" s="2">
        <f>IF($AG$24&gt;0,$AG$24,$AJ$35)</f>
        <v>0</v>
      </c>
      <c r="AO35" s="177" t="s">
        <v>328</v>
      </c>
      <c r="AP35" s="178">
        <v>1</v>
      </c>
      <c r="BD35" s="158" t="s">
        <v>264</v>
      </c>
      <c r="BE35" s="158">
        <v>108</v>
      </c>
      <c r="BF35" s="158">
        <v>20.7</v>
      </c>
      <c r="BG35" s="158">
        <v>2.6</v>
      </c>
      <c r="BH35" s="158">
        <v>0.57999999999999996</v>
      </c>
      <c r="BI35" s="158">
        <v>1.08</v>
      </c>
      <c r="BJ35" s="158">
        <v>0</v>
      </c>
      <c r="BK35" s="158">
        <v>10</v>
      </c>
      <c r="BL35" s="158">
        <v>171</v>
      </c>
      <c r="BM35" s="172" t="s">
        <v>265</v>
      </c>
    </row>
    <row r="36" spans="1:65" ht="25.2" customHeight="1">
      <c r="A36" s="36"/>
      <c r="B36" s="229"/>
      <c r="C36" s="227"/>
      <c r="D36" s="228"/>
      <c r="E36" s="80"/>
      <c r="F36" s="86" t="str">
        <f>IF($Z$21=3,ROUND($AA$79,2)&amp;" %","")</f>
        <v/>
      </c>
      <c r="G36" s="22" t="str">
        <f>IF($Z$21=3,ROUND($AB$79,2)&amp;" %","")</f>
        <v/>
      </c>
      <c r="H36" s="22" t="str">
        <f>IF($Z$21=3,ROUND($AE$79,2)&amp;" %","")</f>
        <v/>
      </c>
      <c r="I36" s="22" t="str">
        <f>IF($Z$21=3,ROUND($AD$79,2)&amp;" %","")</f>
        <v/>
      </c>
      <c r="J36" s="22" t="str">
        <f>IF($Z$21=3,ROUND($AC$79,2)&amp;" %","")</f>
        <v/>
      </c>
      <c r="K36" s="22" t="str">
        <f>IF($Z$21=3,IF($AG$18=2,ROUND($AF$79,2)&amp;" %",""),"")</f>
        <v/>
      </c>
      <c r="L36" s="87" t="str">
        <f>IF($Z$21=3,IF($AG$19=2,ROUND($AG$79,2)&amp;" %",""),"")</f>
        <v/>
      </c>
      <c r="M36" s="98"/>
      <c r="N36" s="98"/>
      <c r="O36" s="98"/>
      <c r="P36" s="98"/>
      <c r="Q36" s="40"/>
      <c r="R36" s="4"/>
      <c r="S36" s="4"/>
      <c r="T36" s="4"/>
      <c r="U36" s="4"/>
      <c r="V36" s="4"/>
      <c r="W36" s="199"/>
      <c r="X36" s="169"/>
      <c r="Y36" s="332" t="s">
        <v>429</v>
      </c>
      <c r="Z36" s="333"/>
      <c r="AA36" s="2">
        <f>IF($C$15&lt;&gt;"",ROUND($AA$37/$C$15,2),0)</f>
        <v>0</v>
      </c>
      <c r="AB36" s="165">
        <f>IF($Z$21=3,ROUND($AH$79,2),0)</f>
        <v>0</v>
      </c>
      <c r="AC36" s="2"/>
      <c r="AD36" s="169"/>
      <c r="AE36" s="169"/>
      <c r="AF36" s="2" t="s">
        <v>121</v>
      </c>
      <c r="AG36" s="2" t="s">
        <v>122</v>
      </c>
      <c r="AH36" s="2" t="s">
        <v>124</v>
      </c>
      <c r="AI36" s="2" t="s">
        <v>125</v>
      </c>
      <c r="AJ36" s="2" t="s">
        <v>123</v>
      </c>
      <c r="AK36" s="2" t="s">
        <v>126</v>
      </c>
      <c r="AL36" s="2" t="s">
        <v>127</v>
      </c>
      <c r="AO36" s="177" t="s">
        <v>329</v>
      </c>
      <c r="AP36" s="178">
        <v>1.1000000000000001</v>
      </c>
      <c r="BD36" s="158" t="s">
        <v>266</v>
      </c>
      <c r="BE36" s="158">
        <v>147</v>
      </c>
      <c r="BF36" s="158">
        <v>31</v>
      </c>
      <c r="BG36" s="158">
        <v>2.5</v>
      </c>
      <c r="BH36" s="158">
        <v>1E-3</v>
      </c>
      <c r="BI36" s="158">
        <v>1</v>
      </c>
      <c r="BJ36" s="158">
        <v>0</v>
      </c>
      <c r="BK36" s="158">
        <v>10.8</v>
      </c>
      <c r="BL36" s="158">
        <v>180</v>
      </c>
      <c r="BM36" s="172" t="s">
        <v>267</v>
      </c>
    </row>
    <row r="37" spans="1:65" ht="25.2" customHeight="1">
      <c r="A37" s="36"/>
      <c r="B37" s="226" t="s">
        <v>358</v>
      </c>
      <c r="C37" s="227"/>
      <c r="D37" s="228"/>
      <c r="E37" s="80"/>
      <c r="F37" s="111" t="str">
        <f>IF($Z$21=3,ROUND($AA$80,2)&amp;" % (MS)","")</f>
        <v/>
      </c>
      <c r="G37" s="112" t="str">
        <f>IF($Z$21=3,ROUND($AB$80,2)&amp;" % (MS)","")</f>
        <v/>
      </c>
      <c r="H37" s="112" t="str">
        <f>IF($Z$21=3,ROUND($AE$80,2)&amp;" % (MS)","")</f>
        <v/>
      </c>
      <c r="I37" s="112" t="str">
        <f>IF($Z$21=3,ROUND($AD$80,2)&amp;" % (MS)","")</f>
        <v/>
      </c>
      <c r="J37" s="112" t="str">
        <f>IF($Z$21=3,ROUND($AC$80,2)&amp;" % (MS)","")</f>
        <v/>
      </c>
      <c r="K37" s="112" t="str">
        <f>IF($Z$21=3,IF($AG$18=2,ROUND($AF$80,2)&amp;" % (MS)",""),"")</f>
        <v/>
      </c>
      <c r="L37" s="113" t="str">
        <f>IF($Z$21=3,IF($AG$19=2,ROUND($AG$80,2)&amp;" % (MS)",""),"")</f>
        <v/>
      </c>
      <c r="M37" s="98"/>
      <c r="N37" s="98"/>
      <c r="O37" s="98"/>
      <c r="P37" s="98"/>
      <c r="Q37" s="40"/>
      <c r="R37" s="4"/>
      <c r="S37" s="4"/>
      <c r="T37" s="4"/>
      <c r="U37" s="4"/>
      <c r="V37" s="4"/>
      <c r="W37" s="199"/>
      <c r="X37" s="169"/>
      <c r="Y37" s="332" t="s">
        <v>430</v>
      </c>
      <c r="Z37" s="333"/>
      <c r="AA37" s="2">
        <f>$AA$78</f>
        <v>0</v>
      </c>
      <c r="AB37" s="165">
        <f>IF($AC$55=8,IF($L$35&gt;0,ROUND($AG$81,2),0),0)</f>
        <v>0</v>
      </c>
      <c r="AC37" s="2"/>
      <c r="AD37" s="169" t="s">
        <v>195</v>
      </c>
      <c r="AE37" s="169"/>
      <c r="AF37" s="2" t="s">
        <v>49</v>
      </c>
      <c r="AG37" s="2" t="s">
        <v>132</v>
      </c>
      <c r="AH37" s="2">
        <v>0</v>
      </c>
      <c r="AI37" s="2">
        <v>0</v>
      </c>
      <c r="AJ37" s="2" t="s">
        <v>132</v>
      </c>
      <c r="AK37" s="2">
        <v>0</v>
      </c>
      <c r="AL37" s="2">
        <v>0</v>
      </c>
      <c r="AO37" s="177" t="s">
        <v>330</v>
      </c>
      <c r="AP37" s="178">
        <v>1</v>
      </c>
      <c r="BD37" s="158" t="s">
        <v>268</v>
      </c>
      <c r="BE37" s="158">
        <v>98.9</v>
      </c>
      <c r="BF37" s="158">
        <v>23.1</v>
      </c>
      <c r="BG37" s="158">
        <v>0.73</v>
      </c>
      <c r="BH37" s="158">
        <v>0</v>
      </c>
      <c r="BI37" s="158">
        <v>1.06</v>
      </c>
      <c r="BJ37" s="158">
        <v>0</v>
      </c>
      <c r="BK37" s="158">
        <v>15.2</v>
      </c>
      <c r="BL37" s="158">
        <v>193</v>
      </c>
      <c r="BM37" s="172" t="s">
        <v>269</v>
      </c>
    </row>
    <row r="38" spans="1:65" ht="25.2" customHeight="1">
      <c r="A38" s="37"/>
      <c r="B38" s="229"/>
      <c r="C38" s="227"/>
      <c r="D38" s="228"/>
      <c r="E38" s="80"/>
      <c r="F38" s="114" t="str">
        <f>IF($Z$21=3,$AA$84&amp;" g/Mcal","")</f>
        <v/>
      </c>
      <c r="G38" s="115" t="str">
        <f>IF($Z$21=3,$AB$84&amp;" g/Mcal","")</f>
        <v/>
      </c>
      <c r="H38" s="115" t="str">
        <f>IF($Z$21=3,$AE$84&amp;" g/Mcal","")</f>
        <v/>
      </c>
      <c r="I38" s="115" t="str">
        <f>IF($Z$21=3,$AD$84&amp;" g/Mcal","")</f>
        <v/>
      </c>
      <c r="J38" s="115" t="str">
        <f>IF($Z$21=3,$AC$84&amp;" g/Mcal","")</f>
        <v/>
      </c>
      <c r="K38" s="115" t="str">
        <f>IF($Z$21=3,IF($AG$18=2,$AF$84&amp;" g/Mcal",""),"")</f>
        <v/>
      </c>
      <c r="L38" s="116" t="str">
        <f>IF($Z$21=3,IF($AG$19=2,$AG$84&amp;" g/Mcal",""),"")</f>
        <v/>
      </c>
      <c r="M38" s="98"/>
      <c r="N38" s="98"/>
      <c r="O38" s="98"/>
      <c r="P38" s="98"/>
      <c r="Q38" s="40"/>
      <c r="R38" s="4"/>
      <c r="S38" s="4"/>
      <c r="T38" s="4"/>
      <c r="U38" s="4"/>
      <c r="V38" s="4"/>
      <c r="W38" s="199"/>
      <c r="X38" s="169"/>
      <c r="Y38" s="169"/>
      <c r="Z38" s="169"/>
      <c r="AA38" s="169"/>
      <c r="AB38" s="180"/>
      <c r="AC38" s="2"/>
      <c r="AD38" s="169"/>
      <c r="AE38" s="169"/>
      <c r="AF38" s="2" t="s">
        <v>50</v>
      </c>
      <c r="AG38" s="158">
        <f>IF($AC$55=8,VLOOKUP($C$20,$X$105:$AL$110,2,0)&amp;" | "&amp;VLOOKUP($C$20,$X$93:$AL$98,2,0),0)</f>
        <v>0</v>
      </c>
      <c r="AH38" s="2">
        <f>IF($Z$21=3,IF($AG$46&lt;VLOOKUP($C$20,$X$105:$AL$110,2,0),1,0),0)</f>
        <v>0</v>
      </c>
      <c r="AI38" s="2">
        <f>IF($Z$21=3,IF($AG$46&lt;VLOOKUP($C$20,$X$93:$AL$98,2,0),1,0),0)</f>
        <v>0</v>
      </c>
      <c r="AJ38" s="158">
        <f>IF($AC$55=8,ROUNDUP(VLOOKUP($C$20,$X$105:$AL$110,3,0)*$Z$100,0)&amp;" | "&amp;ROUNDUP(VLOOKUP($C$20,$X$93:$AL$98,3,0)*$Z$100,0),0)</f>
        <v>0</v>
      </c>
      <c r="AK38" s="2">
        <f>IF($Z$21=3,IF($AG$46&gt;ROUNDUP(VLOOKUP($C$20,$X$105:$AL$110,3,0)*$Z$100,0),1,0),0)</f>
        <v>0</v>
      </c>
      <c r="AL38" s="2">
        <f>IF($Z$21=3,IF($AG$46&gt;ROUNDUP(VLOOKUP($C$20,$X$93:$AL$98,3,0)*$Z$100,0),1,0),0)</f>
        <v>0</v>
      </c>
      <c r="AO38" s="177" t="s">
        <v>331</v>
      </c>
      <c r="AP38" s="178">
        <v>1</v>
      </c>
      <c r="BD38" s="158" t="s">
        <v>270</v>
      </c>
      <c r="BE38" s="158">
        <v>115</v>
      </c>
      <c r="BF38" s="158">
        <v>23.48</v>
      </c>
      <c r="BG38" s="158">
        <v>1.69</v>
      </c>
      <c r="BH38" s="158">
        <v>0</v>
      </c>
      <c r="BI38" s="158">
        <v>1.46</v>
      </c>
      <c r="BJ38" s="158">
        <v>0</v>
      </c>
      <c r="BK38" s="158">
        <v>62</v>
      </c>
      <c r="BL38" s="158">
        <v>285</v>
      </c>
      <c r="BM38" s="172" t="s">
        <v>271</v>
      </c>
    </row>
    <row r="39" spans="1:65" ht="18" customHeight="1">
      <c r="A39" s="37"/>
      <c r="B39" s="226" t="s">
        <v>359</v>
      </c>
      <c r="C39" s="230"/>
      <c r="D39" s="231"/>
      <c r="E39" s="80"/>
      <c r="F39" s="44"/>
      <c r="G39" s="40"/>
      <c r="H39" s="52"/>
      <c r="I39" s="52"/>
      <c r="J39" s="53"/>
      <c r="K39" s="54"/>
      <c r="L39" s="54"/>
      <c r="M39" s="99"/>
      <c r="N39" s="99"/>
      <c r="O39" s="99"/>
      <c r="P39" s="99"/>
      <c r="Q39" s="44"/>
      <c r="R39" s="21"/>
      <c r="S39" s="21"/>
      <c r="T39" s="21"/>
      <c r="U39" s="21"/>
      <c r="V39" s="21"/>
      <c r="W39" s="200"/>
      <c r="X39" s="169"/>
      <c r="Y39" s="331" t="s">
        <v>9</v>
      </c>
      <c r="Z39" s="225"/>
      <c r="AA39" s="336" t="s">
        <v>12</v>
      </c>
      <c r="AB39" s="331" t="s">
        <v>9</v>
      </c>
      <c r="AC39" s="225"/>
      <c r="AD39" s="169"/>
      <c r="AE39" s="169"/>
      <c r="AF39" s="2" t="s">
        <v>128</v>
      </c>
      <c r="AG39" s="158">
        <f>IF($AC$55=8,VLOOKUP($C$20,$X$105:$AL$110,4,0)&amp;" | "&amp;VLOOKUP($C$20,$X$93:$AL$98,4,0),0)</f>
        <v>0</v>
      </c>
      <c r="AH39" s="2">
        <f>IF($Z$21=3,IF($AH$46&lt;VLOOKUP($C$20,$X$105:$AL$110,4,0),1,0),0)</f>
        <v>0</v>
      </c>
      <c r="AI39" s="2">
        <f>IF($Z$21=3,IF($AH$46&lt;VLOOKUP($C$20,$X$93:$AL$98,4,0),1,0),0)</f>
        <v>0</v>
      </c>
      <c r="AJ39" s="158">
        <f>IF($AC$55=8,VLOOKUP($C$20,$X$105:$AL$110,5,0)&amp;" | "&amp;VLOOKUP($C$20,$X$93:$AL$98,5,0),0)</f>
        <v>0</v>
      </c>
      <c r="AK39" s="2">
        <f>IF($Z$21=3,IF($AH$46&gt;VLOOKUP($C$20,$X$105:$AL$110,5,0),1,0),0)</f>
        <v>0</v>
      </c>
      <c r="AL39" s="2">
        <f>IF($Z$21=3,IF($AH$46&gt;VLOOKUP($C$20,$X$93:$AL$98,5,0),1,0),0)</f>
        <v>0</v>
      </c>
      <c r="AO39" s="177" t="s">
        <v>21</v>
      </c>
      <c r="AP39" s="178">
        <v>1</v>
      </c>
      <c r="BD39" s="158" t="s">
        <v>272</v>
      </c>
      <c r="BE39" s="158">
        <v>194</v>
      </c>
      <c r="BF39" s="158">
        <v>20.5</v>
      </c>
      <c r="BG39" s="158">
        <v>12.4</v>
      </c>
      <c r="BH39" s="158">
        <v>1E-3</v>
      </c>
      <c r="BI39" s="158">
        <v>1.22</v>
      </c>
      <c r="BJ39" s="158">
        <v>0</v>
      </c>
      <c r="BK39" s="158">
        <v>5.84</v>
      </c>
      <c r="BL39" s="158">
        <v>181</v>
      </c>
      <c r="BM39" s="172" t="s">
        <v>273</v>
      </c>
    </row>
    <row r="40" spans="1:65" ht="25.2" customHeight="1">
      <c r="A40" s="37"/>
      <c r="B40" s="232"/>
      <c r="C40" s="233"/>
      <c r="D40" s="234"/>
      <c r="E40" s="80"/>
      <c r="F40" s="340" t="s">
        <v>160</v>
      </c>
      <c r="G40" s="341"/>
      <c r="H40" s="341"/>
      <c r="I40" s="341"/>
      <c r="J40" s="341"/>
      <c r="K40" s="341"/>
      <c r="L40" s="342"/>
      <c r="M40" s="99"/>
      <c r="N40" s="99"/>
      <c r="O40" s="99"/>
      <c r="P40" s="99"/>
      <c r="Q40" s="44"/>
      <c r="R40" s="21"/>
      <c r="S40" s="21"/>
      <c r="T40" s="21"/>
      <c r="U40" s="21"/>
      <c r="V40" s="21"/>
      <c r="W40" s="200"/>
      <c r="X40" s="2">
        <f>IF($I$18&lt;&gt;"",IF($I$18&gt;0,1,0),0)</f>
        <v>0</v>
      </c>
      <c r="Y40" s="180" t="s">
        <v>55</v>
      </c>
      <c r="Z40" s="180">
        <f>IF($I$18&lt;&gt;"",1,0)</f>
        <v>0</v>
      </c>
      <c r="AA40" s="337"/>
      <c r="AB40" s="180" t="s">
        <v>407</v>
      </c>
      <c r="AC40" s="180">
        <f>IF(ISNUMBER($C$15),IF($C$15&gt;0,1,0),0)</f>
        <v>0</v>
      </c>
      <c r="AD40" s="180"/>
      <c r="AE40" s="169"/>
      <c r="AF40" s="2" t="s">
        <v>51</v>
      </c>
      <c r="AG40" s="158">
        <f>IF($AC$55=8,VLOOKUP($C$20,$X$105:$AL$110,6,0)&amp;" | "&amp;VLOOKUP($C$20,$X$93:$AL$98,6,0),0)</f>
        <v>0</v>
      </c>
      <c r="AH40" s="2">
        <f>IF($Z$21=3,IF($AI$46&lt;VLOOKUP($C$20,$X$105:$AL$110,6,0),1,0),0)</f>
        <v>0</v>
      </c>
      <c r="AI40" s="2">
        <f>IF($Z$21=3,IF($AI$46&lt;VLOOKUP($C$20,$X$93:$AL$98,6,0),1,0),0)</f>
        <v>0</v>
      </c>
      <c r="AJ40" s="158">
        <f>IF($AC$55=8,VLOOKUP($C$20,$X$105:$AL$110,7,0)&amp;" | "&amp;VLOOKUP($C$20,$X$93:$AL$98,7,0),0)</f>
        <v>0</v>
      </c>
      <c r="AK40" s="2">
        <f>IF($Z$21=3,IF($AI$46&gt;VLOOKUP($C$20,$X$105:$AL$110,7,0),1,0),0)</f>
        <v>0</v>
      </c>
      <c r="AL40" s="2">
        <f>IF($Z$21=3,IF($AI$46&gt;VLOOKUP($C$20,$X$93:$AL$98,7,0),1,0),0)</f>
        <v>0</v>
      </c>
      <c r="AO40" s="177" t="s">
        <v>332</v>
      </c>
      <c r="AP40" s="178">
        <v>1</v>
      </c>
      <c r="AR40" s="331" t="s">
        <v>7</v>
      </c>
      <c r="AS40" s="225"/>
      <c r="AU40" s="329" t="s">
        <v>11</v>
      </c>
      <c r="AV40" s="330"/>
      <c r="AW40" s="163"/>
      <c r="AX40" s="163"/>
      <c r="AY40" s="163"/>
      <c r="BD40" s="158" t="s">
        <v>274</v>
      </c>
      <c r="BE40" s="158">
        <v>193</v>
      </c>
      <c r="BF40" s="158">
        <v>25</v>
      </c>
      <c r="BG40" s="158">
        <v>10.3</v>
      </c>
      <c r="BH40" s="158">
        <v>0</v>
      </c>
      <c r="BI40" s="158">
        <v>1.22</v>
      </c>
      <c r="BJ40" s="158">
        <v>0</v>
      </c>
      <c r="BK40" s="158">
        <v>4.5999999999999996</v>
      </c>
      <c r="BL40" s="158">
        <v>150</v>
      </c>
      <c r="BM40" s="172" t="s">
        <v>275</v>
      </c>
    </row>
    <row r="41" spans="1:65" ht="25.2" customHeight="1">
      <c r="A41" s="37"/>
      <c r="B41" s="291" t="s">
        <v>392</v>
      </c>
      <c r="C41" s="292"/>
      <c r="D41" s="293"/>
      <c r="E41" s="80"/>
      <c r="F41" s="88"/>
      <c r="G41" s="23"/>
      <c r="H41" s="24"/>
      <c r="I41" s="24"/>
      <c r="J41" s="24"/>
      <c r="K41" s="25"/>
      <c r="L41" s="90"/>
      <c r="M41" s="99"/>
      <c r="N41" s="99"/>
      <c r="O41" s="99"/>
      <c r="P41" s="99"/>
      <c r="Q41" s="44"/>
      <c r="R41" s="21"/>
      <c r="S41" s="21"/>
      <c r="T41" s="21"/>
      <c r="U41" s="21"/>
      <c r="V41" s="21"/>
      <c r="W41" s="200"/>
      <c r="X41" s="2">
        <f>IF($I$19&lt;&gt;"",IF($I$19&gt;0,1,0),0)</f>
        <v>0</v>
      </c>
      <c r="Y41" s="180" t="s">
        <v>56</v>
      </c>
      <c r="Z41" s="180">
        <f>IF($I$19&lt;&gt;"",1,0)</f>
        <v>0</v>
      </c>
      <c r="AA41" s="337"/>
      <c r="AB41" s="180" t="s">
        <v>406</v>
      </c>
      <c r="AC41" s="180">
        <f>IF($C$19&gt;0,1,0)</f>
        <v>0</v>
      </c>
      <c r="AD41" s="180"/>
      <c r="AE41" s="169"/>
      <c r="AF41" s="2" t="s">
        <v>52</v>
      </c>
      <c r="AG41" s="158">
        <f>IF($AC$55=8,VLOOKUP($C$20,$X$105:$AL$110,8,0)&amp;" | "&amp;VLOOKUP($C$20,$X$93:$AL$98,8,0),0)</f>
        <v>0</v>
      </c>
      <c r="AH41" s="2">
        <f>IF($Z$21=3,IF($AJ$46&lt;VLOOKUP($C$20,$X$105:$AL$110,8,0),1,0),0)</f>
        <v>0</v>
      </c>
      <c r="AI41" s="2">
        <f>IF($Z$21=3,IF($AJ$46&lt;VLOOKUP($C$20,$X$93:$AL$98,8,0),1,0),0)</f>
        <v>0</v>
      </c>
      <c r="AJ41" s="158">
        <f>IF($AC$55=8,VLOOKUP($C$20,$X$105:$AL$110,9,0)&amp;" | "&amp;VLOOKUP($C$20,$X$93:$AL$98,9,0),0)</f>
        <v>0</v>
      </c>
      <c r="AK41" s="2">
        <f>IF($Z$21=3,IF($AJ$46&gt;VLOOKUP($C$20,$X$105:$AL$110,9,0),1,0),0)</f>
        <v>0</v>
      </c>
      <c r="AL41" s="2">
        <f>IF($Z$21=3,IF($AJ$46&gt;VLOOKUP($C$20,$X$93:$AL$98,9,0),1,0),0)</f>
        <v>0</v>
      </c>
      <c r="AO41" s="177" t="s">
        <v>333</v>
      </c>
      <c r="AP41" s="178">
        <v>1.1000000000000001</v>
      </c>
      <c r="AR41" s="180" t="s">
        <v>26</v>
      </c>
      <c r="AS41" s="2">
        <v>1</v>
      </c>
      <c r="AU41" s="180" t="s">
        <v>2</v>
      </c>
      <c r="AV41" s="2">
        <v>1</v>
      </c>
      <c r="AW41" s="2"/>
      <c r="AX41" s="2"/>
      <c r="AY41" s="2"/>
      <c r="BD41" s="158" t="s">
        <v>276</v>
      </c>
      <c r="BE41" s="158">
        <v>215</v>
      </c>
      <c r="BF41" s="158">
        <v>25</v>
      </c>
      <c r="BG41" s="158">
        <v>14</v>
      </c>
      <c r="BH41" s="158">
        <v>0.49</v>
      </c>
      <c r="BI41" s="158">
        <v>2.4500000000000002</v>
      </c>
      <c r="BJ41" s="158">
        <v>0</v>
      </c>
      <c r="BK41" s="158">
        <v>421</v>
      </c>
      <c r="BL41" s="158">
        <v>337</v>
      </c>
      <c r="BM41" s="172" t="s">
        <v>277</v>
      </c>
    </row>
    <row r="42" spans="1:65" ht="25.2" customHeight="1">
      <c r="A42" s="37"/>
      <c r="B42" s="320" t="s">
        <v>393</v>
      </c>
      <c r="C42" s="321"/>
      <c r="D42" s="322"/>
      <c r="E42" s="80"/>
      <c r="F42" s="91"/>
      <c r="G42" s="24"/>
      <c r="H42" s="24" t="s">
        <v>304</v>
      </c>
      <c r="I42" s="24"/>
      <c r="J42" s="14"/>
      <c r="K42" s="25" t="str">
        <f>IF($Z59&gt;0,IF($L$23&gt;0,IF($J$42=""," Merci d'indiquer le prix au kilo",""),""),"")</f>
        <v/>
      </c>
      <c r="L42" s="90"/>
      <c r="M42" s="99"/>
      <c r="N42" s="99"/>
      <c r="O42" s="99"/>
      <c r="P42" s="99"/>
      <c r="Q42" s="44"/>
      <c r="R42" s="21"/>
      <c r="S42" s="21"/>
      <c r="T42" s="21"/>
      <c r="U42" s="21"/>
      <c r="V42" s="21"/>
      <c r="W42" s="200"/>
      <c r="X42" s="189"/>
      <c r="Y42" s="167" t="s">
        <v>57</v>
      </c>
      <c r="Z42" s="180">
        <f>SUM($Z$40:$Z$41)</f>
        <v>0</v>
      </c>
      <c r="AA42" s="337"/>
      <c r="AB42" s="180" t="s">
        <v>411</v>
      </c>
      <c r="AC42" s="180">
        <f>IF($C$20&gt;0,1,0)</f>
        <v>0</v>
      </c>
      <c r="AD42" s="180"/>
      <c r="AE42" s="169"/>
      <c r="AF42" s="2" t="s">
        <v>129</v>
      </c>
      <c r="AG42" s="158">
        <f>IF($AC$55=8,VLOOKUP($C$20,$X$105:$AL$110,10,0)&amp;" | "&amp;VLOOKUP($C$20,$X$93:$AL$98,10,0),0)</f>
        <v>0</v>
      </c>
      <c r="AH42" s="2">
        <f>IF($Z$21=3,IF($AG$18+$AG$19=4,IF($AK$46&lt;VLOOKUP($C$20,$X$105:$AL$110,10,0),1,0),0),0)</f>
        <v>0</v>
      </c>
      <c r="AI42" s="2">
        <f>IF($Z$21=3,IF($AG$18+$AG$19=4,IF($AK$46&lt;VLOOKUP($C$20,$X$93:$AL$98,10,0),1,0),0),0)</f>
        <v>0</v>
      </c>
      <c r="AJ42" s="158">
        <f>IF($AC$55=8,VLOOKUP($C$20,$X$105:$AL$110,11,0)&amp;" | "&amp;VLOOKUP($C$20,$X$93:$AL$98,11,0),0)</f>
        <v>0</v>
      </c>
      <c r="AK42" s="2">
        <f>IF($Z$21=3,IF($AG$18+$AG$19=4,IF($AK$46&gt;VLOOKUP($C$20,$X$105:$AL$110,11,0),1,0),0),0)</f>
        <v>0</v>
      </c>
      <c r="AL42" s="2">
        <f>IF($Z$21=3,IF($AG$18+$AG$19=4,IF($AK$46&gt;VLOOKUP($C$20,$X$93:$AL$98,11,0),1,0),0),0)</f>
        <v>0</v>
      </c>
      <c r="AO42" s="177" t="s">
        <v>334</v>
      </c>
      <c r="AP42" s="178">
        <v>1</v>
      </c>
      <c r="AR42" s="180" t="s">
        <v>25</v>
      </c>
      <c r="AS42" s="2">
        <v>0.9</v>
      </c>
      <c r="AU42" s="180" t="s">
        <v>3</v>
      </c>
      <c r="AV42" s="2">
        <v>0.8</v>
      </c>
      <c r="AW42" s="2"/>
      <c r="AX42" s="2"/>
      <c r="AY42" s="2"/>
      <c r="BD42" s="158" t="s">
        <v>278</v>
      </c>
      <c r="BE42" s="158">
        <v>187</v>
      </c>
      <c r="BF42" s="158">
        <v>16</v>
      </c>
      <c r="BG42" s="158">
        <v>13</v>
      </c>
      <c r="BH42" s="158">
        <v>1.7</v>
      </c>
      <c r="BI42" s="158">
        <v>2.1</v>
      </c>
      <c r="BJ42" s="158">
        <v>0</v>
      </c>
      <c r="BK42" s="158">
        <v>450</v>
      </c>
      <c r="BL42" s="158">
        <v>370</v>
      </c>
      <c r="BM42" s="172" t="s">
        <v>279</v>
      </c>
    </row>
    <row r="43" spans="1:65" ht="25.2" customHeight="1">
      <c r="A43" s="37"/>
      <c r="B43" s="222" t="s">
        <v>133</v>
      </c>
      <c r="C43" s="223"/>
      <c r="D43" s="224"/>
      <c r="E43" s="80"/>
      <c r="F43" s="92"/>
      <c r="G43" s="24"/>
      <c r="H43" s="24" t="s">
        <v>305</v>
      </c>
      <c r="I43" s="57"/>
      <c r="J43" s="14"/>
      <c r="K43" s="25" t="str">
        <f>IF($Z59&gt;0,IF($L$24&gt;0,IF($J$43=""," Merci d'indiquer le prix au kilo",""),""),"")</f>
        <v/>
      </c>
      <c r="L43" s="89"/>
      <c r="M43" s="99"/>
      <c r="N43" s="99"/>
      <c r="O43" s="99"/>
      <c r="P43" s="99"/>
      <c r="Q43" s="44"/>
      <c r="R43" s="21"/>
      <c r="S43" s="21"/>
      <c r="T43" s="21"/>
      <c r="U43" s="21"/>
      <c r="V43" s="21"/>
      <c r="W43" s="200"/>
      <c r="X43" s="189" t="s">
        <v>300</v>
      </c>
      <c r="Y43" s="180" t="s">
        <v>49</v>
      </c>
      <c r="Z43" s="180">
        <f>IF($K$9&lt;&gt;"",1,0)</f>
        <v>0</v>
      </c>
      <c r="AA43" s="337"/>
      <c r="AB43" s="180" t="s">
        <v>408</v>
      </c>
      <c r="AC43" s="180">
        <f>IF($AJ$16=1,1,IF($C$21&gt;0,1,0))</f>
        <v>0</v>
      </c>
      <c r="AD43" s="180"/>
      <c r="AE43" s="169"/>
      <c r="AF43" s="2" t="s">
        <v>130</v>
      </c>
      <c r="AG43" s="158">
        <f>IF($AC$55=8,VLOOKUP($C$20,$X$105:$AL$110,12,0)&amp;" | "&amp;VLOOKUP($C$20,$X$93:$AL$98,12,0),0)</f>
        <v>0</v>
      </c>
      <c r="AH43" s="2">
        <f>IF($Z$21=3,IF($AG$18+$AG$19=4,IF($AL$46&lt;VLOOKUP($C$20,$X$105:$AL$110,12,0),1,0),0),0)</f>
        <v>0</v>
      </c>
      <c r="AI43" s="2">
        <f>IF($Z$21=3,IF($AG$18+$AG$19=4,IF($AL$46&lt;VLOOKUP($C$20,$X$93:$AL$98,12,0),1,0),0),0)</f>
        <v>0</v>
      </c>
      <c r="AJ43" s="158">
        <f>IF($AC$55=8,VLOOKUP($C$20,$X$105:$AL$110,13,0)&amp;" | "&amp;VLOOKUP($C$20,$X$93:$AL$98,13,0),0)</f>
        <v>0</v>
      </c>
      <c r="AK43" s="2">
        <f>IF($Z$21=3,IF($AG$18+$AG$19=4,IF($AL$46&gt;VLOOKUP($C$20,$X$105:$AL$110,13,0),1,0),0),0)</f>
        <v>0</v>
      </c>
      <c r="AL43" s="2">
        <f>IF($Z$21=3,IF($AG$18+$AG$19=4,IF($AL$46&gt;VLOOKUP($C$20,$X$93:$AL$98,13,0),1,0),0),0)</f>
        <v>0</v>
      </c>
      <c r="AO43" s="177" t="s">
        <v>335</v>
      </c>
      <c r="AP43" s="178">
        <v>1</v>
      </c>
      <c r="AR43" s="180" t="s">
        <v>24</v>
      </c>
      <c r="AS43" s="2">
        <v>0.8</v>
      </c>
      <c r="AU43" s="180" t="s">
        <v>4</v>
      </c>
      <c r="AV43" s="2">
        <v>0.8</v>
      </c>
      <c r="AW43" s="2"/>
      <c r="AX43" s="2"/>
      <c r="AY43" s="2"/>
      <c r="BD43" s="158" t="s">
        <v>280</v>
      </c>
      <c r="BE43" s="158">
        <v>135</v>
      </c>
      <c r="BF43" s="158">
        <v>10.3</v>
      </c>
      <c r="BG43" s="158">
        <v>10.5</v>
      </c>
      <c r="BH43" s="158">
        <v>0</v>
      </c>
      <c r="BI43" s="158">
        <v>1.2</v>
      </c>
      <c r="BJ43" s="158">
        <v>0</v>
      </c>
      <c r="BK43" s="158">
        <v>280</v>
      </c>
      <c r="BL43" s="158">
        <v>220</v>
      </c>
      <c r="BM43" s="172" t="s">
        <v>281</v>
      </c>
    </row>
    <row r="44" spans="1:65" ht="25.2" customHeight="1">
      <c r="A44" s="37"/>
      <c r="B44" s="243" t="s">
        <v>158</v>
      </c>
      <c r="C44" s="244"/>
      <c r="D44" s="245"/>
      <c r="E44" s="80"/>
      <c r="F44" s="92"/>
      <c r="G44" s="24"/>
      <c r="H44" s="24" t="s">
        <v>172</v>
      </c>
      <c r="I44" s="57"/>
      <c r="J44" s="14"/>
      <c r="K44" s="25" t="str">
        <f>IF($Z59&gt;0,IF($AC$66&gt;1,IF($J$44=""," Merci d'indiquer le prix au kilo",""),""),"")</f>
        <v/>
      </c>
      <c r="L44" s="89"/>
      <c r="M44" s="99"/>
      <c r="N44" s="99"/>
      <c r="O44" s="99"/>
      <c r="P44" s="99"/>
      <c r="Q44" s="44"/>
      <c r="R44" s="21"/>
      <c r="S44" s="21"/>
      <c r="T44" s="21"/>
      <c r="U44" s="21"/>
      <c r="V44" s="21"/>
      <c r="W44" s="200"/>
      <c r="X44" s="189" t="s">
        <v>302</v>
      </c>
      <c r="Y44" s="180" t="s">
        <v>50</v>
      </c>
      <c r="Z44" s="180">
        <f>IF($K$10&lt;&gt;"",1,0)</f>
        <v>0</v>
      </c>
      <c r="AA44" s="337"/>
      <c r="AB44" s="180" t="s">
        <v>410</v>
      </c>
      <c r="AC44" s="180">
        <f>IF($C$22&gt;0,1,0)</f>
        <v>0</v>
      </c>
      <c r="AD44" s="180"/>
      <c r="AE44" s="169"/>
      <c r="AF44" s="2" t="s">
        <v>131</v>
      </c>
      <c r="AG44" s="158">
        <f>IF($AC$55=8,VLOOKUP($C$20,$X$105:$AL$110,14,0)&amp;" | "&amp;VLOOKUP($C$20,$X$93:$AL$98,14,0),0)</f>
        <v>0</v>
      </c>
      <c r="AH44" s="2">
        <f>IF($AG$18+$AG$19=4,IF($AL$46&gt;0,IF(($AB$37)&lt;VLOOKUP($C$20,$X$105:$AL$110,14,0),1,0),0),0)</f>
        <v>0</v>
      </c>
      <c r="AI44" s="2">
        <f>IF($AG$18+$AG$19=4,IF($AL$46&gt;0,IF(($AB$37)&lt;VLOOKUP($C$20,$X$93:$AL$98,14,0),1,0),0),0)</f>
        <v>0</v>
      </c>
      <c r="AJ44" s="158">
        <f>IF($AC$55=8,VLOOKUP($C$20,$X$105:$AL$110,15,0)&amp;" | "&amp;VLOOKUP($C$20,$X$93:$AL$98,15,0),0)</f>
        <v>0</v>
      </c>
      <c r="AK44" s="2">
        <f>IF($AG$18+$AG$19=4,IF($AL$46&gt;0,IF(($AB$37)&gt;VLOOKUP($C$20,$X$105:$AL$110,15,0),1,0),0),0)</f>
        <v>0</v>
      </c>
      <c r="AL44" s="2">
        <f>IF($AG$18+$AG$19=4,IF($AL$46&gt;0,IF(($AB$37)&gt;VLOOKUP($C$20,$X$93:$AL$98,15,0),1,0),0),0)</f>
        <v>0</v>
      </c>
      <c r="AO44" s="177" t="s">
        <v>336</v>
      </c>
      <c r="AP44" s="178">
        <v>1</v>
      </c>
      <c r="AR44" s="180" t="s">
        <v>27</v>
      </c>
      <c r="AS44" s="2">
        <v>1.1000000000000001</v>
      </c>
      <c r="AV44" s="201"/>
      <c r="AW44" s="201"/>
      <c r="AX44" s="201"/>
      <c r="AY44" s="201"/>
      <c r="BD44" s="158" t="s">
        <v>282</v>
      </c>
      <c r="BE44" s="158">
        <v>147</v>
      </c>
      <c r="BF44" s="158">
        <v>13.8</v>
      </c>
      <c r="BG44" s="158">
        <v>9.7200000000000006</v>
      </c>
      <c r="BH44" s="158">
        <v>1.01</v>
      </c>
      <c r="BI44" s="158">
        <v>0.95</v>
      </c>
      <c r="BJ44" s="158">
        <v>0</v>
      </c>
      <c r="BK44" s="158">
        <v>70</v>
      </c>
      <c r="BL44" s="158">
        <v>184</v>
      </c>
      <c r="BM44" s="172" t="s">
        <v>283</v>
      </c>
    </row>
    <row r="45" spans="1:65" ht="25.2" customHeight="1">
      <c r="A45" s="37"/>
      <c r="B45" s="246" t="s">
        <v>159</v>
      </c>
      <c r="C45" s="247"/>
      <c r="D45" s="248"/>
      <c r="E45" s="80"/>
      <c r="F45" s="93"/>
      <c r="G45" s="94"/>
      <c r="H45" s="105" t="str">
        <f>IF($Z$67&gt;0,"Mon budget mensuel moyen est de : ","")</f>
        <v/>
      </c>
      <c r="I45" s="95"/>
      <c r="J45" s="104" t="str">
        <f>IF($Z$67&gt;0,ROUND($Z$67,2)&amp;"€","")</f>
        <v/>
      </c>
      <c r="K45" s="103" t="str">
        <f>IF($Z$67&gt;0," (soit "&amp;ROUND($Z$67*12/365,2)&amp;"€ par jour)","")</f>
        <v/>
      </c>
      <c r="L45" s="96"/>
      <c r="M45" s="99"/>
      <c r="N45" s="99"/>
      <c r="O45" s="99"/>
      <c r="P45" s="99"/>
      <c r="Q45" s="44"/>
      <c r="R45" s="21"/>
      <c r="S45" s="21"/>
      <c r="T45" s="21"/>
      <c r="U45" s="21"/>
      <c r="V45" s="21"/>
      <c r="W45" s="200"/>
      <c r="X45" s="189" t="s">
        <v>301</v>
      </c>
      <c r="Y45" s="180" t="s">
        <v>51</v>
      </c>
      <c r="Z45" s="180">
        <f>IF($K$11&lt;&gt;"",1,0)</f>
        <v>0</v>
      </c>
      <c r="AA45" s="337"/>
      <c r="AB45" s="180" t="s">
        <v>409</v>
      </c>
      <c r="AC45" s="180">
        <f>IF($AJ$16=1,1,IF($C$23&gt;0,1,0))</f>
        <v>0</v>
      </c>
      <c r="AD45" s="169"/>
      <c r="AE45" s="169"/>
      <c r="AF45" s="169"/>
      <c r="AG45" s="2">
        <f>MAX($AH$41+$AI$38,$AK$38+$AL$38)</f>
        <v>0</v>
      </c>
      <c r="AH45" s="2">
        <f>MAX($AH$42+$AI$39,$AK$39+$AL$39)</f>
        <v>0</v>
      </c>
      <c r="AI45" s="2">
        <f>MAX($AH$40+$AI$40,$AK$40+$AL$40)</f>
        <v>0</v>
      </c>
      <c r="AJ45" s="2">
        <f>MAX($AH$41+$AI$41+$AK$41+$AL$41)</f>
        <v>0</v>
      </c>
      <c r="AK45" s="2">
        <f>MAX($AH$42+$AI$42,$AK$42+$AL$42)</f>
        <v>0</v>
      </c>
      <c r="AL45" s="2">
        <f>MAX($AH$43+$AI$43,$AK$43+$AL$43)</f>
        <v>0</v>
      </c>
      <c r="AO45" s="177" t="s">
        <v>337</v>
      </c>
      <c r="AP45" s="178">
        <v>1</v>
      </c>
      <c r="AR45" s="180" t="s">
        <v>28</v>
      </c>
      <c r="AS45" s="2">
        <v>1.2</v>
      </c>
      <c r="BD45" s="158" t="s">
        <v>284</v>
      </c>
      <c r="BE45" s="158">
        <v>47.3</v>
      </c>
      <c r="BF45" s="158">
        <v>10.3</v>
      </c>
      <c r="BG45" s="158">
        <v>0.17</v>
      </c>
      <c r="BH45" s="158">
        <v>1.1200000000000001</v>
      </c>
      <c r="BI45" s="158">
        <v>0.6</v>
      </c>
      <c r="BJ45" s="158">
        <v>0</v>
      </c>
      <c r="BK45" s="158">
        <v>6.67</v>
      </c>
      <c r="BL45" s="158">
        <v>14.7</v>
      </c>
      <c r="BM45" s="172" t="s">
        <v>285</v>
      </c>
    </row>
    <row r="46" spans="1:65" ht="18" customHeight="1">
      <c r="A46" s="37"/>
      <c r="B46" s="46"/>
      <c r="C46" s="46"/>
      <c r="D46" s="46"/>
      <c r="E46" s="80"/>
      <c r="F46" s="39"/>
      <c r="G46" s="39"/>
      <c r="H46" s="39"/>
      <c r="I46" s="39"/>
      <c r="J46" s="39"/>
      <c r="K46" s="39"/>
      <c r="L46" s="46"/>
      <c r="M46" s="99"/>
      <c r="N46" s="99"/>
      <c r="O46" s="99"/>
      <c r="P46" s="99"/>
      <c r="Q46" s="44"/>
      <c r="R46" s="21"/>
      <c r="S46" s="21"/>
      <c r="T46" s="21"/>
      <c r="U46" s="21"/>
      <c r="V46" s="21"/>
      <c r="W46" s="200"/>
      <c r="X46" s="189"/>
      <c r="Y46" s="180" t="s">
        <v>52</v>
      </c>
      <c r="Z46" s="180">
        <f>IF($K$12&lt;&gt;"",1,0)</f>
        <v>0</v>
      </c>
      <c r="AA46" s="337"/>
      <c r="AB46" s="180" t="s">
        <v>412</v>
      </c>
      <c r="AC46" s="180">
        <f>IF($C$24&gt;0,1,0)</f>
        <v>0</v>
      </c>
      <c r="AD46" s="169"/>
      <c r="AE46" s="169"/>
      <c r="AF46" s="202">
        <f>IF($Z$21=3,ROUND($AA$80,2),0)</f>
        <v>0</v>
      </c>
      <c r="AG46" s="202">
        <f>IF($Z$21=3,ROUND($AB$80,2),0)</f>
        <v>0</v>
      </c>
      <c r="AH46" s="202">
        <f>IF($Z$21=3,ROUND($AC$80,2),0)</f>
        <v>0</v>
      </c>
      <c r="AI46" s="202">
        <f>IF($Z$21=3,ROUND($AE$80,2),0)</f>
        <v>0</v>
      </c>
      <c r="AJ46" s="202">
        <f>IF($Z$21=3,ROUND($AD$80,2),0)</f>
        <v>0</v>
      </c>
      <c r="AK46" s="203">
        <f>IF($Z$21=3,$Z$13,0)</f>
        <v>0</v>
      </c>
      <c r="AL46" s="203">
        <f>IF($Z$21=3,$Z$14,0)</f>
        <v>0</v>
      </c>
      <c r="AO46" s="177" t="s">
        <v>22</v>
      </c>
      <c r="AP46" s="178">
        <v>1</v>
      </c>
      <c r="AR46" s="158"/>
      <c r="AS46" s="158"/>
    </row>
    <row r="47" spans="1:65" ht="25.2" customHeight="1">
      <c r="A47" s="37"/>
      <c r="B47" s="360" t="s">
        <v>415</v>
      </c>
      <c r="C47" s="361"/>
      <c r="D47" s="117"/>
      <c r="E47" s="117"/>
      <c r="F47" s="117"/>
      <c r="G47" s="117"/>
      <c r="H47" s="117"/>
      <c r="I47" s="117"/>
      <c r="J47" s="117"/>
      <c r="K47" s="117"/>
      <c r="L47" s="118"/>
      <c r="M47" s="99"/>
      <c r="N47" s="99"/>
      <c r="O47" s="99"/>
      <c r="P47" s="99"/>
      <c r="Q47" s="44"/>
      <c r="R47" s="21"/>
      <c r="S47" s="21"/>
      <c r="T47" s="21"/>
      <c r="U47" s="21"/>
      <c r="V47" s="21"/>
      <c r="W47" s="200"/>
      <c r="X47" s="189" t="s">
        <v>303</v>
      </c>
      <c r="Y47" s="180" t="s">
        <v>53</v>
      </c>
      <c r="Z47" s="180">
        <f>IF($K$13&lt;&gt;"",1,0)</f>
        <v>0</v>
      </c>
      <c r="AA47" s="337"/>
      <c r="AB47" s="180" t="s">
        <v>413</v>
      </c>
      <c r="AC47" s="180">
        <f>IF($C$25&gt;0,1,0)</f>
        <v>0</v>
      </c>
      <c r="AD47" s="169"/>
      <c r="AE47" s="169"/>
      <c r="AF47" s="2" t="str">
        <f>AF37</f>
        <v>Protéines</v>
      </c>
      <c r="AG47" s="2" t="str">
        <f>AF38</f>
        <v>Lipides</v>
      </c>
      <c r="AH47" s="2" t="str">
        <f>AF39</f>
        <v>Glucides</v>
      </c>
      <c r="AI47" s="2" t="str">
        <f>AF40</f>
        <v>Fibres</v>
      </c>
      <c r="AJ47" s="2" t="str">
        <f>AF41</f>
        <v>Cendres</v>
      </c>
      <c r="AK47" s="158" t="str">
        <f>"Calcium g / Mcal BE"</f>
        <v>Calcium g / Mcal BE</v>
      </c>
      <c r="AL47" s="158" t="str">
        <f>"P g / Mcal BE"</f>
        <v>P g / Mcal BE</v>
      </c>
      <c r="AO47" s="177" t="s">
        <v>338</v>
      </c>
      <c r="AP47" s="178">
        <v>1.2</v>
      </c>
      <c r="AR47" s="158"/>
      <c r="AS47" s="158"/>
    </row>
    <row r="48" spans="1:65" ht="25.2" customHeight="1">
      <c r="A48" s="37"/>
      <c r="B48" s="362"/>
      <c r="C48" s="363"/>
      <c r="D48" s="119"/>
      <c r="E48" s="120"/>
      <c r="F48" s="120"/>
      <c r="G48" s="120"/>
      <c r="H48" s="121"/>
      <c r="I48" s="121"/>
      <c r="J48" s="121"/>
      <c r="K48" s="121"/>
      <c r="L48" s="122"/>
      <c r="M48" s="99"/>
      <c r="N48" s="99"/>
      <c r="O48" s="99"/>
      <c r="P48" s="99"/>
      <c r="Q48" s="44"/>
      <c r="R48" s="21"/>
      <c r="S48" s="21"/>
      <c r="T48" s="21"/>
      <c r="U48" s="21"/>
      <c r="V48" s="21"/>
      <c r="W48" s="200"/>
      <c r="X48" s="189"/>
      <c r="Y48" s="167" t="s">
        <v>58</v>
      </c>
      <c r="Z48" s="167">
        <f>SUM($Z$43:$Z$47)</f>
        <v>0</v>
      </c>
      <c r="AA48" s="337"/>
      <c r="AB48" s="180" t="s">
        <v>49</v>
      </c>
      <c r="AC48" s="180">
        <f>IF($I$9&lt;&gt;"",1,0)</f>
        <v>0</v>
      </c>
      <c r="AD48" s="3" t="s">
        <v>137</v>
      </c>
      <c r="AE48" s="169"/>
      <c r="AF48" s="169"/>
      <c r="AG48" s="169"/>
      <c r="AH48" s="169"/>
      <c r="AI48" s="169"/>
      <c r="AJ48" s="169"/>
      <c r="AK48" s="2" t="s">
        <v>131</v>
      </c>
      <c r="AL48" s="202">
        <f>IF($Z$21=3,IF($AG$18+$AG$19=4,$AB$37,0),0)</f>
        <v>0</v>
      </c>
      <c r="AO48" s="177" t="s">
        <v>339</v>
      </c>
      <c r="AP48" s="178">
        <v>1</v>
      </c>
      <c r="AR48" s="158"/>
      <c r="AS48" s="158"/>
    </row>
    <row r="49" spans="1:42" ht="25.2" customHeight="1">
      <c r="A49" s="37"/>
      <c r="B49" s="123"/>
      <c r="C49" s="121"/>
      <c r="D49" s="121"/>
      <c r="E49" s="121"/>
      <c r="F49" s="121"/>
      <c r="G49" s="121"/>
      <c r="H49" s="121"/>
      <c r="I49" s="121"/>
      <c r="J49" s="121"/>
      <c r="K49" s="121"/>
      <c r="L49" s="122"/>
      <c r="M49" s="99"/>
      <c r="N49" s="99"/>
      <c r="O49" s="99"/>
      <c r="P49" s="99"/>
      <c r="Q49" s="44"/>
      <c r="R49" s="21"/>
      <c r="S49" s="21"/>
      <c r="T49" s="21"/>
      <c r="U49" s="21"/>
      <c r="V49" s="21"/>
      <c r="W49" s="200"/>
      <c r="X49" s="2">
        <f>IF($K$18&lt;&gt;"",IF($K$18&gt;0,1,0),0)</f>
        <v>0</v>
      </c>
      <c r="Y49" s="180" t="s">
        <v>55</v>
      </c>
      <c r="Z49" s="180">
        <f>IF($K$18&lt;&gt;"",1,0)</f>
        <v>0</v>
      </c>
      <c r="AA49" s="337"/>
      <c r="AB49" s="180" t="s">
        <v>50</v>
      </c>
      <c r="AC49" s="180">
        <f>IF($I$10&lt;&gt;"",1,0)</f>
        <v>0</v>
      </c>
      <c r="AD49" s="3" t="s">
        <v>138</v>
      </c>
      <c r="AE49" s="169"/>
      <c r="AF49" s="169"/>
      <c r="AG49" s="169"/>
      <c r="AH49" s="169"/>
      <c r="AI49" s="169"/>
      <c r="AJ49" s="169"/>
      <c r="AK49" s="169"/>
      <c r="AL49" s="2">
        <f>MAX($AH$44+$AI$44,$AK$44+$AL$44)</f>
        <v>0</v>
      </c>
      <c r="AO49" s="177" t="s">
        <v>340</v>
      </c>
      <c r="AP49" s="178">
        <v>1</v>
      </c>
    </row>
    <row r="50" spans="1:42" ht="25.2" customHeight="1">
      <c r="A50" s="37"/>
      <c r="B50" s="123"/>
      <c r="C50" s="121"/>
      <c r="D50" s="121"/>
      <c r="E50" s="124"/>
      <c r="F50" s="137" t="s">
        <v>416</v>
      </c>
      <c r="G50" s="124"/>
      <c r="H50" s="124"/>
      <c r="I50" s="124"/>
      <c r="J50" s="124"/>
      <c r="K50" s="124"/>
      <c r="L50" s="125"/>
      <c r="M50" s="99"/>
      <c r="N50" s="99"/>
      <c r="O50" s="99"/>
      <c r="P50" s="99"/>
      <c r="Q50" s="44"/>
      <c r="R50" s="21"/>
      <c r="S50" s="21"/>
      <c r="T50" s="21"/>
      <c r="U50" s="21"/>
      <c r="V50" s="21"/>
      <c r="W50" s="200"/>
      <c r="X50" s="2">
        <f>IF($K$19&lt;&gt;"",IF($K$19&gt;0,1,0),0)</f>
        <v>0</v>
      </c>
      <c r="Y50" s="180" t="s">
        <v>56</v>
      </c>
      <c r="Z50" s="180">
        <f>IF($K$19&lt;&gt;"",1,0)</f>
        <v>0</v>
      </c>
      <c r="AA50" s="337"/>
      <c r="AB50" s="180" t="s">
        <v>51</v>
      </c>
      <c r="AC50" s="180">
        <f>IF($I$11&lt;&gt;"",1,0)</f>
        <v>0</v>
      </c>
      <c r="AD50" s="3" t="s">
        <v>139</v>
      </c>
      <c r="AE50" s="169"/>
      <c r="AF50" s="169"/>
      <c r="AG50" s="169"/>
      <c r="AH50" s="169"/>
      <c r="AI50" s="169"/>
      <c r="AJ50" s="169"/>
      <c r="AK50" s="169"/>
      <c r="AL50" s="169"/>
      <c r="AO50" s="177" t="s">
        <v>23</v>
      </c>
      <c r="AP50" s="178">
        <v>1</v>
      </c>
    </row>
    <row r="51" spans="1:42" ht="25.2" customHeight="1">
      <c r="A51" s="37"/>
      <c r="B51" s="126"/>
      <c r="E51" s="127"/>
      <c r="F51" s="138" t="s">
        <v>394</v>
      </c>
      <c r="G51" s="128"/>
      <c r="H51" s="128"/>
      <c r="I51" s="128"/>
      <c r="J51" s="128"/>
      <c r="K51" s="249" t="s">
        <v>419</v>
      </c>
      <c r="L51" s="250"/>
      <c r="M51" s="99"/>
      <c r="N51" s="99"/>
      <c r="O51" s="99"/>
      <c r="P51" s="99"/>
      <c r="Q51" s="44"/>
      <c r="R51" s="21"/>
      <c r="S51" s="21"/>
      <c r="T51" s="21"/>
      <c r="U51" s="21"/>
      <c r="V51" s="21"/>
      <c r="W51" s="200"/>
      <c r="X51" s="169"/>
      <c r="Y51" s="167" t="s">
        <v>59</v>
      </c>
      <c r="Z51" s="180">
        <f>SUM($Z$49:$Z$50)</f>
        <v>0</v>
      </c>
      <c r="AA51" s="337"/>
      <c r="AB51" s="180" t="s">
        <v>52</v>
      </c>
      <c r="AC51" s="180">
        <f>IF($I$12&lt;&gt;"",1,0)</f>
        <v>0</v>
      </c>
      <c r="AD51" s="3" t="s">
        <v>140</v>
      </c>
      <c r="AE51" s="169"/>
      <c r="AF51" s="169"/>
      <c r="AG51" s="169"/>
      <c r="AH51" s="169"/>
      <c r="AI51" s="169"/>
      <c r="AJ51" s="169"/>
      <c r="AK51" s="169"/>
      <c r="AL51" s="169"/>
      <c r="AO51" s="177"/>
      <c r="AP51" s="178"/>
    </row>
    <row r="52" spans="1:42" ht="25.2" customHeight="1">
      <c r="A52" s="37"/>
      <c r="B52" s="126"/>
      <c r="E52" s="127"/>
      <c r="F52" s="138" t="s">
        <v>395</v>
      </c>
      <c r="G52" s="128"/>
      <c r="H52" s="128"/>
      <c r="I52" s="128"/>
      <c r="J52" s="128"/>
      <c r="K52" s="129"/>
      <c r="L52" s="130"/>
      <c r="M52" s="99"/>
      <c r="N52" s="99"/>
      <c r="O52" s="99"/>
      <c r="P52" s="99"/>
      <c r="Q52" s="44"/>
      <c r="R52" s="21"/>
      <c r="S52" s="21"/>
      <c r="T52" s="21"/>
      <c r="U52" s="21"/>
      <c r="V52" s="21"/>
      <c r="W52" s="200"/>
      <c r="X52" s="169"/>
      <c r="Y52" s="204" t="s">
        <v>60</v>
      </c>
      <c r="Z52" s="204">
        <f>IF($L$23&lt;&gt;"",1,0)</f>
        <v>1</v>
      </c>
      <c r="AA52" s="337"/>
      <c r="AB52" s="180" t="s">
        <v>53</v>
      </c>
      <c r="AC52" s="180">
        <f>IF($I$13&lt;&gt;"",1,0)</f>
        <v>0</v>
      </c>
      <c r="AD52" s="3" t="s">
        <v>141</v>
      </c>
      <c r="AE52" s="169"/>
      <c r="AF52" s="169"/>
      <c r="AG52" s="169"/>
      <c r="AH52" s="169"/>
      <c r="AI52" s="169"/>
      <c r="AJ52" s="169"/>
      <c r="AK52" s="169"/>
      <c r="AL52" s="169"/>
      <c r="AO52" s="177"/>
      <c r="AP52" s="178"/>
    </row>
    <row r="53" spans="1:42" ht="25.2" customHeight="1">
      <c r="A53" s="37"/>
      <c r="B53" s="126"/>
      <c r="E53" s="131"/>
      <c r="F53" s="138" t="s">
        <v>396</v>
      </c>
      <c r="G53" s="128"/>
      <c r="H53" s="128"/>
      <c r="I53" s="128"/>
      <c r="J53" s="128"/>
      <c r="K53" s="128"/>
      <c r="L53" s="130"/>
      <c r="M53" s="99"/>
      <c r="N53" s="99"/>
      <c r="O53" s="99"/>
      <c r="P53" s="99"/>
      <c r="Q53" s="44"/>
      <c r="R53" s="21"/>
      <c r="S53" s="21"/>
      <c r="T53" s="21"/>
      <c r="U53" s="21"/>
      <c r="V53" s="21"/>
      <c r="W53" s="200"/>
      <c r="X53" s="169"/>
      <c r="Y53" s="167" t="s">
        <v>61</v>
      </c>
      <c r="Z53" s="180">
        <f>$Z$52</f>
        <v>1</v>
      </c>
      <c r="AA53" s="337"/>
      <c r="AB53" s="180"/>
      <c r="AC53" s="180"/>
      <c r="AD53" s="169"/>
      <c r="AE53" s="169"/>
      <c r="AF53" s="169"/>
      <c r="AG53" s="169"/>
      <c r="AH53" s="169"/>
      <c r="AI53" s="169"/>
      <c r="AJ53" s="169"/>
      <c r="AK53" s="169"/>
      <c r="AL53" s="169"/>
      <c r="AO53" s="177"/>
      <c r="AP53" s="178"/>
    </row>
    <row r="54" spans="1:42" ht="25.2" customHeight="1">
      <c r="A54" s="37"/>
      <c r="B54" s="126"/>
      <c r="E54" s="128"/>
      <c r="F54" s="139"/>
      <c r="G54" s="128"/>
      <c r="H54" s="128"/>
      <c r="I54" s="128"/>
      <c r="J54" s="128"/>
      <c r="K54" s="128"/>
      <c r="L54" s="130"/>
      <c r="M54" s="99"/>
      <c r="N54" s="99"/>
      <c r="O54" s="99"/>
      <c r="P54" s="99"/>
      <c r="Q54" s="44"/>
      <c r="R54" s="21"/>
      <c r="S54" s="21"/>
      <c r="T54" s="21"/>
      <c r="U54" s="21"/>
      <c r="V54" s="21"/>
      <c r="W54" s="200"/>
      <c r="X54" s="169"/>
      <c r="Y54" s="204" t="s">
        <v>62</v>
      </c>
      <c r="Z54" s="204">
        <f>IF($I$16&gt;0,1,0)</f>
        <v>0</v>
      </c>
      <c r="AA54" s="337"/>
      <c r="AB54" s="180"/>
      <c r="AC54" s="180"/>
      <c r="AD54" s="169"/>
      <c r="AE54" s="169"/>
      <c r="AF54" s="205" t="s">
        <v>142</v>
      </c>
      <c r="AG54" s="205">
        <f>IF($L$23=100,1,IF($L$24=100,2,3))</f>
        <v>1</v>
      </c>
      <c r="AH54" s="169"/>
      <c r="AI54" s="169"/>
      <c r="AJ54" s="169"/>
      <c r="AK54" s="169"/>
      <c r="AL54" s="169"/>
      <c r="AO54" s="177"/>
      <c r="AP54" s="178"/>
    </row>
    <row r="55" spans="1:42" ht="25.2" customHeight="1">
      <c r="A55" s="38"/>
      <c r="B55" s="126"/>
      <c r="E55" s="127"/>
      <c r="F55" s="138" t="s">
        <v>417</v>
      </c>
      <c r="G55" s="128"/>
      <c r="H55" s="128"/>
      <c r="I55" s="128"/>
      <c r="J55" s="128"/>
      <c r="K55" s="128"/>
      <c r="L55" s="130"/>
      <c r="M55" s="99"/>
      <c r="N55" s="99"/>
      <c r="O55" s="99"/>
      <c r="P55" s="99"/>
      <c r="Q55" s="44"/>
      <c r="R55" s="21"/>
      <c r="S55" s="21"/>
      <c r="T55" s="21"/>
      <c r="U55" s="21"/>
      <c r="V55" s="21"/>
      <c r="W55" s="200"/>
      <c r="X55" s="169"/>
      <c r="Y55" s="204" t="s">
        <v>42</v>
      </c>
      <c r="Z55" s="204">
        <f>IF($K$16&gt;0,1,0)</f>
        <v>0</v>
      </c>
      <c r="AA55" s="337"/>
      <c r="AB55" s="198" t="s">
        <v>10</v>
      </c>
      <c r="AC55" s="167">
        <f>SUM($AC$40:$AC$47)</f>
        <v>0</v>
      </c>
      <c r="AD55" s="169"/>
      <c r="AE55" s="169"/>
      <c r="AF55" s="192" t="s">
        <v>143</v>
      </c>
      <c r="AG55" s="192" t="str">
        <f>IF($AG$54=1,IF($AA21&lt;3,"Les données indiquées pour les croquettes sont incomplètes ou erronées",""),"")</f>
        <v>Les données indiquées pour les croquettes sont incomplètes ou erronées</v>
      </c>
      <c r="AH55" s="169"/>
      <c r="AI55" s="275"/>
      <c r="AJ55" s="275"/>
      <c r="AK55" s="169"/>
      <c r="AL55" s="169"/>
      <c r="AO55" s="177"/>
      <c r="AP55" s="178"/>
    </row>
    <row r="56" spans="1:42" ht="25.2" customHeight="1">
      <c r="A56" s="38"/>
      <c r="B56" s="126"/>
      <c r="E56" s="127"/>
      <c r="F56" s="155" t="s">
        <v>418</v>
      </c>
      <c r="G56" s="128"/>
      <c r="H56" s="128"/>
      <c r="I56" s="128"/>
      <c r="J56" s="128"/>
      <c r="K56" s="128"/>
      <c r="L56" s="130"/>
      <c r="M56" s="99"/>
      <c r="N56" s="99"/>
      <c r="O56" s="99"/>
      <c r="P56" s="99"/>
      <c r="Q56" s="44"/>
      <c r="R56" s="21"/>
      <c r="S56" s="21"/>
      <c r="T56" s="21"/>
      <c r="U56" s="21"/>
      <c r="V56" s="21"/>
      <c r="W56" s="200"/>
      <c r="X56" s="169"/>
      <c r="Y56" s="204" t="s">
        <v>41</v>
      </c>
      <c r="Z56" s="204">
        <f>IF($B$29&gt;0,1,0)</f>
        <v>0</v>
      </c>
      <c r="AA56" s="337"/>
      <c r="AB56" s="198" t="s">
        <v>54</v>
      </c>
      <c r="AC56" s="167">
        <f>SUM($AC$48:$AC$52)</f>
        <v>0</v>
      </c>
      <c r="AD56" s="169"/>
      <c r="AE56" s="169"/>
      <c r="AF56" s="192" t="s">
        <v>144</v>
      </c>
      <c r="AG56" s="192" t="str">
        <f>IF($AG$54=2,IF($AA22&lt;3,"Les données indiquées pour la pâtée sont incomplètes ou erronées",""),"")</f>
        <v/>
      </c>
      <c r="AH56" s="169"/>
      <c r="AI56" s="335" t="s">
        <v>145</v>
      </c>
      <c r="AJ56" s="335"/>
      <c r="AK56" s="169"/>
      <c r="AL56" s="169"/>
      <c r="AO56" s="177"/>
      <c r="AP56" s="178"/>
    </row>
    <row r="57" spans="1:42" ht="25.2" customHeight="1">
      <c r="A57" s="36"/>
      <c r="B57" s="126"/>
      <c r="E57" s="127"/>
      <c r="F57" s="138"/>
      <c r="G57" s="128"/>
      <c r="H57" s="128"/>
      <c r="I57" s="128"/>
      <c r="J57" s="128"/>
      <c r="K57" s="128"/>
      <c r="L57" s="130"/>
      <c r="M57" s="99"/>
      <c r="N57" s="99"/>
      <c r="O57" s="99"/>
      <c r="P57" s="99"/>
      <c r="Q57" s="44"/>
      <c r="R57" s="21"/>
      <c r="S57" s="21"/>
      <c r="T57" s="21"/>
      <c r="U57" s="21"/>
      <c r="V57" s="21"/>
      <c r="W57" s="200"/>
      <c r="X57" s="169"/>
      <c r="Y57" s="170" t="s">
        <v>70</v>
      </c>
      <c r="Z57" s="170">
        <f>IF($AC$56=5,1,0)</f>
        <v>0</v>
      </c>
      <c r="AA57" s="238"/>
      <c r="AB57" s="170" t="s">
        <v>74</v>
      </c>
      <c r="AC57" s="170">
        <f>IF($Z$42+$AC$56=7,1,0)</f>
        <v>0</v>
      </c>
      <c r="AD57" s="169"/>
      <c r="AE57" s="169"/>
      <c r="AF57" s="192" t="s">
        <v>146</v>
      </c>
      <c r="AG57" s="192" t="str">
        <f>IF($AI$57&gt;0,IF($AA$21&lt;3,IF($AA$22=3,"Les données indiquées pour les croquettes sont incomplètes ou erronées",""),""),"")</f>
        <v/>
      </c>
      <c r="AH57" s="169"/>
      <c r="AI57" s="335">
        <f>IF($AG$54=3,IF($AA23&lt;3,1,0),0)</f>
        <v>0</v>
      </c>
      <c r="AJ57" s="335"/>
      <c r="AK57" s="169"/>
      <c r="AL57" s="169"/>
      <c r="AO57" s="177"/>
      <c r="AP57" s="178"/>
    </row>
    <row r="58" spans="1:42" ht="25.2" customHeight="1">
      <c r="A58" s="36"/>
      <c r="B58" s="126"/>
      <c r="F58" s="128"/>
      <c r="G58" s="128"/>
      <c r="H58" s="128"/>
      <c r="I58" s="128"/>
      <c r="J58" s="128"/>
      <c r="K58" s="128"/>
      <c r="L58" s="132"/>
      <c r="M58" s="99"/>
      <c r="N58" s="99"/>
      <c r="O58" s="99"/>
      <c r="P58" s="99"/>
      <c r="Q58" s="45"/>
      <c r="R58" s="8"/>
      <c r="S58" s="8"/>
      <c r="T58" s="8"/>
      <c r="U58" s="8"/>
      <c r="V58" s="8"/>
      <c r="W58" s="200"/>
      <c r="X58" s="169"/>
      <c r="Y58" s="170" t="s">
        <v>71</v>
      </c>
      <c r="Z58" s="170">
        <f>IF($Z$48=5,1,0)</f>
        <v>0</v>
      </c>
      <c r="AA58" s="238"/>
      <c r="AB58" s="170" t="s">
        <v>75</v>
      </c>
      <c r="AC58" s="170">
        <f>IF($Z$51+$Z$48=7,1,0)</f>
        <v>0</v>
      </c>
      <c r="AE58" s="169"/>
      <c r="AF58" s="192" t="s">
        <v>147</v>
      </c>
      <c r="AG58" s="192" t="str">
        <f>IF($AI$57&gt;0,IF($AA$21=3,IF($AA$22&lt;3,"Les données indiquées pour la pâtée sont incomplètes ou erronées",""),""),"")</f>
        <v/>
      </c>
      <c r="AH58" s="169"/>
      <c r="AI58" s="3"/>
      <c r="AJ58" s="3"/>
      <c r="AK58" s="169"/>
      <c r="AL58" s="169"/>
      <c r="AO58" s="177"/>
      <c r="AP58" s="178"/>
    </row>
    <row r="59" spans="1:42" ht="25.2" customHeight="1">
      <c r="A59" s="36"/>
      <c r="B59" s="133"/>
      <c r="C59" s="134"/>
      <c r="D59" s="134"/>
      <c r="E59" s="134"/>
      <c r="F59" s="135"/>
      <c r="G59" s="135"/>
      <c r="H59" s="135"/>
      <c r="I59" s="135"/>
      <c r="J59" s="135"/>
      <c r="K59" s="135"/>
      <c r="L59" s="136" t="str">
        <f>"Ce calculateur est optimisé pour Microsoft Excel (2007 et supérieur) mais il fonctionne également avec Apache OpenOffice et Google Sheets "</f>
        <v xml:space="preserve">Ce calculateur est optimisé pour Microsoft Excel (2007 et supérieur) mais il fonctionne également avec Apache OpenOffice et Google Sheets </v>
      </c>
      <c r="M59" s="99"/>
      <c r="N59" s="99"/>
      <c r="O59" s="99"/>
      <c r="P59" s="99"/>
      <c r="Q59" s="45"/>
      <c r="R59" s="8"/>
      <c r="S59" s="8"/>
      <c r="T59" s="8"/>
      <c r="U59" s="8"/>
      <c r="V59" s="8"/>
      <c r="W59" s="200"/>
      <c r="X59" s="169"/>
      <c r="Y59" s="167" t="s">
        <v>73</v>
      </c>
      <c r="Z59" s="180">
        <f>IF(SUM($Z$57:$Z$58)&gt;0,1,0)</f>
        <v>0</v>
      </c>
      <c r="AA59" s="238"/>
      <c r="AB59" s="198" t="s">
        <v>72</v>
      </c>
      <c r="AC59" s="180">
        <f>IF(SUM($AC$57:$AC$58)*$AD$11*$AD$12&gt;0,1,0)</f>
        <v>0</v>
      </c>
      <c r="AE59" s="169"/>
      <c r="AF59" s="192" t="s">
        <v>148</v>
      </c>
      <c r="AG59" s="192" t="str">
        <f>IF($AI$57&gt;0,IF($AA$21&lt;3,IF($AA$22&lt;3,"Les données indiquées pour les croquettes et la pâtée sont incomplètes ou erronées",""),""),"")</f>
        <v/>
      </c>
      <c r="AH59" s="169"/>
      <c r="AI59" s="173"/>
      <c r="AJ59" s="173"/>
      <c r="AK59" s="169"/>
      <c r="AL59" s="169"/>
      <c r="AO59" s="177"/>
      <c r="AP59" s="178"/>
    </row>
    <row r="60" spans="1:42" ht="25.2" customHeight="1">
      <c r="A60" s="36"/>
      <c r="B60" s="100"/>
      <c r="C60" s="100"/>
      <c r="D60" s="100"/>
      <c r="E60" s="100"/>
      <c r="F60" s="100"/>
      <c r="G60" s="100"/>
      <c r="H60" s="100"/>
      <c r="I60" s="100"/>
      <c r="J60" s="100"/>
      <c r="K60" s="100"/>
      <c r="L60" s="100"/>
      <c r="M60" s="100"/>
      <c r="N60" s="99"/>
      <c r="O60" s="99"/>
      <c r="P60" s="99"/>
      <c r="Q60" s="45"/>
      <c r="R60" s="8"/>
      <c r="S60" s="8"/>
      <c r="T60" s="8"/>
      <c r="U60" s="8"/>
      <c r="V60" s="8"/>
      <c r="W60" s="200"/>
      <c r="X60" s="169"/>
      <c r="Y60" s="2"/>
      <c r="Z60" s="2"/>
      <c r="AA60" s="169"/>
      <c r="AB60" s="166"/>
      <c r="AD60" s="172"/>
      <c r="AE60" s="169"/>
      <c r="AF60" s="206" t="s">
        <v>149</v>
      </c>
      <c r="AG60" s="207" t="str">
        <f>$AG$55&amp;$AG$56&amp;$AG$57&amp;$AG$58&amp;$AG$59&amp;"  "</f>
        <v xml:space="preserve">Les données indiquées pour les croquettes sont incomplètes ou erronées  </v>
      </c>
      <c r="AH60" s="208"/>
      <c r="AI60" s="364" t="s">
        <v>150</v>
      </c>
      <c r="AJ60" s="366"/>
      <c r="AK60" s="169"/>
      <c r="AL60" s="169"/>
      <c r="AO60" s="177"/>
      <c r="AP60" s="178"/>
    </row>
    <row r="61" spans="1:42" ht="25.2" customHeight="1">
      <c r="A61" s="36"/>
      <c r="B61" s="100"/>
      <c r="C61" s="100"/>
      <c r="D61" s="100"/>
      <c r="E61" s="100"/>
      <c r="F61" s="100"/>
      <c r="G61" s="100"/>
      <c r="H61" s="100"/>
      <c r="I61" s="100"/>
      <c r="J61" s="100"/>
      <c r="K61" s="100"/>
      <c r="L61" s="100"/>
      <c r="M61" s="100"/>
      <c r="N61" s="99"/>
      <c r="O61" s="99"/>
      <c r="P61" s="99"/>
      <c r="Q61" s="45"/>
      <c r="R61" s="8"/>
      <c r="S61" s="8"/>
      <c r="T61" s="8"/>
      <c r="U61" s="8"/>
      <c r="V61" s="8"/>
      <c r="W61" s="200"/>
      <c r="X61" s="169"/>
      <c r="Y61" s="179" t="s">
        <v>151</v>
      </c>
      <c r="Z61" s="167">
        <f>IF($J$42&lt;&gt;"",1,0)</f>
        <v>0</v>
      </c>
      <c r="AA61" s="169"/>
      <c r="AB61" s="196" t="s">
        <v>152</v>
      </c>
      <c r="AC61" s="167">
        <f>IF($I$15&lt;&gt;"",1,0)</f>
        <v>1</v>
      </c>
      <c r="AD61" s="172"/>
      <c r="AE61" s="169"/>
      <c r="AF61" s="169"/>
      <c r="AG61" s="169"/>
      <c r="AH61" s="169"/>
      <c r="AI61" s="169"/>
      <c r="AJ61" s="169"/>
      <c r="AK61" s="169"/>
      <c r="AL61" s="169"/>
      <c r="AO61" s="177"/>
      <c r="AP61" s="178"/>
    </row>
    <row r="62" spans="1:42" ht="25.2" customHeight="1">
      <c r="A62" s="38"/>
      <c r="B62" s="100"/>
      <c r="C62" s="100"/>
      <c r="D62" s="100"/>
      <c r="E62" s="100"/>
      <c r="F62" s="100"/>
      <c r="G62" s="100"/>
      <c r="H62" s="100"/>
      <c r="I62" s="100"/>
      <c r="J62" s="100"/>
      <c r="K62" s="100"/>
      <c r="L62" s="100"/>
      <c r="M62" s="100"/>
      <c r="N62" s="99"/>
      <c r="O62" s="99"/>
      <c r="P62" s="99"/>
      <c r="Q62" s="45"/>
      <c r="R62" s="8"/>
      <c r="S62" s="8"/>
      <c r="T62" s="8"/>
      <c r="U62" s="8"/>
      <c r="V62" s="8"/>
      <c r="W62" s="200"/>
      <c r="Y62" s="179" t="s">
        <v>153</v>
      </c>
      <c r="Z62" s="167">
        <f>IF($J$43&lt;&gt;"",1,0)</f>
        <v>0</v>
      </c>
      <c r="AB62" s="196" t="s">
        <v>154</v>
      </c>
      <c r="AC62" s="167">
        <f>IF($K$15&lt;&gt;"",1,0)</f>
        <v>1</v>
      </c>
      <c r="AD62" s="172"/>
      <c r="AF62" s="169"/>
      <c r="AG62" s="169"/>
      <c r="AH62" s="169"/>
      <c r="AI62" s="169"/>
      <c r="AJ62" s="169"/>
      <c r="AK62" s="169"/>
      <c r="AL62" s="169"/>
      <c r="AO62" s="177"/>
      <c r="AP62" s="178"/>
    </row>
    <row r="63" spans="1:42" ht="25.2" customHeight="1">
      <c r="A63" s="38"/>
      <c r="B63" s="100"/>
      <c r="C63" s="100"/>
      <c r="D63" s="100"/>
      <c r="E63" s="100"/>
      <c r="F63" s="100"/>
      <c r="G63" s="100"/>
      <c r="H63" s="100"/>
      <c r="I63" s="100"/>
      <c r="J63" s="100"/>
      <c r="K63" s="100"/>
      <c r="L63" s="100"/>
      <c r="M63" s="100"/>
      <c r="N63" s="80"/>
      <c r="O63" s="80"/>
      <c r="P63" s="80"/>
      <c r="Q63" s="39"/>
      <c r="R63" s="12"/>
      <c r="S63" s="12"/>
      <c r="T63" s="12"/>
      <c r="U63" s="12"/>
      <c r="V63" s="12"/>
      <c r="W63" s="209"/>
      <c r="X63" s="188" t="s">
        <v>173</v>
      </c>
      <c r="Y63" s="179" t="s">
        <v>174</v>
      </c>
      <c r="Z63" s="167">
        <f>IF($J$44&lt;&gt;"",1,0)</f>
        <v>0</v>
      </c>
      <c r="AB63" s="166"/>
      <c r="AD63" s="172"/>
      <c r="AE63" s="172"/>
      <c r="AF63" s="169"/>
      <c r="AG63" s="169"/>
      <c r="AH63" s="169"/>
      <c r="AI63" s="169"/>
      <c r="AJ63" s="169"/>
      <c r="AK63" s="169"/>
      <c r="AL63" s="169"/>
      <c r="AO63" s="177"/>
      <c r="AP63" s="178"/>
    </row>
    <row r="64" spans="1:42" ht="25.2" customHeight="1">
      <c r="A64" s="38"/>
      <c r="B64" s="100"/>
      <c r="C64" s="100"/>
      <c r="D64" s="100"/>
      <c r="E64" s="100"/>
      <c r="F64" s="100"/>
      <c r="G64" s="100"/>
      <c r="H64" s="100"/>
      <c r="I64" s="100"/>
      <c r="J64" s="100"/>
      <c r="K64" s="100"/>
      <c r="L64" s="100"/>
      <c r="M64" s="100"/>
      <c r="N64" s="80"/>
      <c r="O64" s="80"/>
      <c r="P64" s="80"/>
      <c r="Q64" s="39"/>
      <c r="R64" s="12"/>
      <c r="S64" s="12"/>
      <c r="T64" s="12"/>
      <c r="U64" s="12"/>
      <c r="V64" s="12"/>
      <c r="W64" s="209"/>
      <c r="Y64" s="331" t="s">
        <v>161</v>
      </c>
      <c r="Z64" s="225"/>
      <c r="AB64" s="166" t="s">
        <v>196</v>
      </c>
      <c r="AC64" s="204">
        <f>IF($J$22&lt;&gt;"",1,0)</f>
        <v>0</v>
      </c>
      <c r="AD64" s="172" t="s">
        <v>173</v>
      </c>
      <c r="AE64" s="172"/>
      <c r="AF64" s="235" t="s">
        <v>297</v>
      </c>
      <c r="AG64" s="236"/>
      <c r="AH64" s="236"/>
      <c r="AI64" s="236"/>
      <c r="AJ64" s="236"/>
      <c r="AK64" s="236"/>
      <c r="AL64" s="236"/>
      <c r="AO64" s="177"/>
      <c r="AP64" s="178"/>
    </row>
    <row r="65" spans="1:42" ht="25.2" customHeight="1">
      <c r="A65" s="38"/>
      <c r="B65" s="100"/>
      <c r="C65" s="100"/>
      <c r="D65" s="100"/>
      <c r="E65" s="100"/>
      <c r="F65" s="100"/>
      <c r="G65" s="100"/>
      <c r="H65" s="100"/>
      <c r="I65" s="100"/>
      <c r="J65" s="100"/>
      <c r="K65" s="100"/>
      <c r="L65" s="100"/>
      <c r="M65" s="100"/>
      <c r="N65" s="80"/>
      <c r="O65" s="80"/>
      <c r="P65" s="80"/>
      <c r="Q65" s="39"/>
      <c r="R65" s="12"/>
      <c r="S65" s="12"/>
      <c r="T65" s="12"/>
      <c r="U65" s="12"/>
      <c r="V65" s="12"/>
      <c r="W65" s="209"/>
      <c r="X65" s="158" t="s">
        <v>198</v>
      </c>
      <c r="Y65" s="201" t="s">
        <v>162</v>
      </c>
      <c r="Z65" s="158">
        <f>IF($J$42&gt;0,$J$42/1000*365/12*$Z$16,0)</f>
        <v>0</v>
      </c>
      <c r="AB65" s="166" t="s">
        <v>197</v>
      </c>
      <c r="AC65" s="204">
        <f>IF($L$22&gt;0,1,0)</f>
        <v>0</v>
      </c>
      <c r="AD65" s="172">
        <f>IF($L$22&lt;&gt;"",1,0)</f>
        <v>0</v>
      </c>
      <c r="AE65" s="172"/>
      <c r="AF65" s="2" t="s">
        <v>421</v>
      </c>
      <c r="AG65" s="179" t="s">
        <v>422</v>
      </c>
      <c r="AH65" s="179"/>
      <c r="AI65" s="179"/>
      <c r="AJ65" s="179"/>
      <c r="AK65" s="179"/>
      <c r="AL65" s="185"/>
      <c r="AO65" s="177"/>
      <c r="AP65" s="178"/>
    </row>
    <row r="66" spans="1:42" ht="25.2" customHeight="1">
      <c r="A66" s="38"/>
      <c r="B66" s="100"/>
      <c r="C66" s="100"/>
      <c r="D66" s="100"/>
      <c r="E66" s="100"/>
      <c r="F66" s="100"/>
      <c r="G66" s="100"/>
      <c r="H66" s="100"/>
      <c r="I66" s="100"/>
      <c r="J66" s="100"/>
      <c r="K66" s="100"/>
      <c r="L66" s="100"/>
      <c r="M66" s="100"/>
      <c r="N66" s="80"/>
      <c r="O66" s="80"/>
      <c r="P66" s="80"/>
      <c r="Q66" s="39"/>
      <c r="R66" s="12"/>
      <c r="S66" s="12"/>
      <c r="T66" s="12"/>
      <c r="U66" s="12"/>
      <c r="V66" s="12"/>
      <c r="W66" s="209"/>
      <c r="X66" s="158">
        <f>IF($J$44&gt;0,$J$44/1000*365/12*$L$22,0)</f>
        <v>0</v>
      </c>
      <c r="Y66" s="201" t="s">
        <v>163</v>
      </c>
      <c r="Z66" s="158">
        <f>IF($J$43&gt;0,$J$43/1000*365/12*$Z$17,0)</f>
        <v>0</v>
      </c>
      <c r="AC66" s="170">
        <f>SUM(AC64:AC65)</f>
        <v>0</v>
      </c>
      <c r="AD66" s="172"/>
      <c r="AE66" s="210"/>
      <c r="AF66" s="2" t="s">
        <v>296</v>
      </c>
      <c r="AG66" s="179" t="s">
        <v>298</v>
      </c>
      <c r="AH66" s="179"/>
      <c r="AI66" s="179"/>
      <c r="AJ66" s="179"/>
      <c r="AK66" s="179"/>
      <c r="AL66" s="185"/>
      <c r="AO66" s="177"/>
      <c r="AP66" s="178"/>
    </row>
    <row r="67" spans="1:42" ht="35.200000000000003" customHeight="1">
      <c r="A67" s="38"/>
      <c r="B67" s="100"/>
      <c r="C67" s="100"/>
      <c r="D67" s="100"/>
      <c r="E67" s="100"/>
      <c r="F67" s="100"/>
      <c r="G67" s="100"/>
      <c r="H67" s="100"/>
      <c r="I67" s="100"/>
      <c r="J67" s="100"/>
      <c r="K67" s="100"/>
      <c r="L67" s="100"/>
      <c r="M67" s="100"/>
      <c r="N67" s="80"/>
      <c r="O67" s="80"/>
      <c r="P67" s="80"/>
      <c r="Q67" s="39"/>
      <c r="R67" s="12"/>
      <c r="S67" s="12"/>
      <c r="T67" s="12"/>
      <c r="U67" s="12"/>
      <c r="V67" s="12"/>
      <c r="W67" s="209"/>
      <c r="X67" s="158" t="s">
        <v>199</v>
      </c>
      <c r="Y67" s="211" t="s">
        <v>164</v>
      </c>
      <c r="Z67" s="211">
        <f>IF($Z$21=3,($Z$65+$Z$66+$X$66)*$Z$68*$Z$69*$X$68,0)</f>
        <v>0</v>
      </c>
      <c r="AA67" s="204" t="s">
        <v>165</v>
      </c>
      <c r="AB67" s="212" t="s">
        <v>343</v>
      </c>
      <c r="AC67" s="201">
        <f>IF($Z$21=3,IF($AC$66=2,1,0),0)</f>
        <v>0</v>
      </c>
      <c r="AD67" s="172"/>
      <c r="AE67" s="210"/>
      <c r="AF67" s="158" t="s">
        <v>351</v>
      </c>
      <c r="AG67" s="339" t="str">
        <f>IF($Z$21=3,IF($AJ$35=2,$AG$34,IF($AJ$35=1,$AG$33,""))," ")</f>
        <v xml:space="preserve"> </v>
      </c>
      <c r="AH67" s="365"/>
      <c r="AI67" s="365"/>
      <c r="AJ67" s="365"/>
      <c r="AK67" s="365"/>
      <c r="AL67" s="365"/>
      <c r="AO67" s="177"/>
      <c r="AP67" s="178"/>
    </row>
    <row r="68" spans="1:42" ht="20.149999999999999" customHeight="1">
      <c r="A68" s="38"/>
      <c r="B68" s="100"/>
      <c r="C68" s="100"/>
      <c r="D68" s="100"/>
      <c r="E68" s="100"/>
      <c r="F68" s="100"/>
      <c r="G68" s="100"/>
      <c r="H68" s="100"/>
      <c r="I68" s="100"/>
      <c r="J68" s="100"/>
      <c r="K68" s="100"/>
      <c r="L68" s="100"/>
      <c r="M68" s="100"/>
      <c r="N68" s="80"/>
      <c r="O68" s="80"/>
      <c r="P68" s="80"/>
      <c r="Q68" s="39"/>
      <c r="R68" s="12"/>
      <c r="S68" s="12"/>
      <c r="T68" s="12"/>
      <c r="U68" s="12"/>
      <c r="V68" s="12"/>
      <c r="W68" s="209"/>
      <c r="X68" s="158">
        <f>IF($H$44&lt;&gt;"",IF($AC$66=2,IF($J$44="",0,1),1),1)</f>
        <v>1</v>
      </c>
      <c r="Y68" s="201" t="s">
        <v>166</v>
      </c>
      <c r="Z68" s="201">
        <f>IF($H$42&lt;&gt;"",IF($L$23&gt;0,IF($J$42="",0,1),1),1)</f>
        <v>0</v>
      </c>
      <c r="AB68" s="210"/>
      <c r="AC68" s="210"/>
      <c r="AD68" s="172"/>
      <c r="AE68" s="210"/>
      <c r="AF68" s="210"/>
      <c r="AO68" s="177"/>
      <c r="AP68" s="178"/>
    </row>
    <row r="69" spans="1:42" ht="25.2" customHeight="1">
      <c r="A69" s="38"/>
      <c r="B69" s="100"/>
      <c r="C69" s="100"/>
      <c r="D69" s="100"/>
      <c r="E69" s="100"/>
      <c r="F69" s="100"/>
      <c r="G69" s="100"/>
      <c r="H69" s="100"/>
      <c r="I69" s="100"/>
      <c r="J69" s="100"/>
      <c r="K69" s="100"/>
      <c r="L69" s="100"/>
      <c r="M69" s="100"/>
      <c r="N69" s="80"/>
      <c r="O69" s="80"/>
      <c r="P69" s="80"/>
      <c r="Q69" s="39"/>
      <c r="R69" s="12"/>
      <c r="S69" s="12"/>
      <c r="T69" s="12"/>
      <c r="U69" s="12"/>
      <c r="V69" s="12"/>
      <c r="W69" s="209"/>
      <c r="Y69" s="201" t="s">
        <v>153</v>
      </c>
      <c r="Z69" s="201">
        <f>IF($H$43&lt;&gt;"",IF($L$24&gt;0,IF($J$43="",0,1),1),1)</f>
        <v>1</v>
      </c>
      <c r="AB69" s="210"/>
      <c r="AC69" s="210"/>
      <c r="AD69" s="172"/>
      <c r="AE69" s="210"/>
      <c r="AF69" s="210"/>
      <c r="AO69" s="177"/>
      <c r="AP69" s="178"/>
    </row>
    <row r="70" spans="1:42" ht="25.2" customHeight="1">
      <c r="A70" s="38"/>
      <c r="B70" s="100"/>
      <c r="C70" s="100"/>
      <c r="D70" s="100"/>
      <c r="E70" s="100"/>
      <c r="F70" s="100"/>
      <c r="G70" s="100"/>
      <c r="H70" s="100"/>
      <c r="I70" s="100"/>
      <c r="J70" s="100"/>
      <c r="K70" s="100"/>
      <c r="L70" s="100"/>
      <c r="M70" s="100"/>
      <c r="N70" s="80"/>
      <c r="O70" s="80"/>
      <c r="P70" s="80"/>
      <c r="Q70" s="39"/>
      <c r="R70" s="12"/>
      <c r="S70" s="12"/>
      <c r="T70" s="12"/>
      <c r="U70" s="12"/>
      <c r="V70" s="12"/>
      <c r="W70" s="209"/>
      <c r="Y70" s="211"/>
      <c r="AB70" s="210"/>
      <c r="AC70" s="210"/>
      <c r="AD70" s="172"/>
      <c r="AE70" s="210"/>
      <c r="AF70" s="210"/>
      <c r="AO70" s="177"/>
      <c r="AP70" s="178"/>
    </row>
    <row r="71" spans="1:42" ht="25.2" customHeight="1">
      <c r="B71" s="101"/>
      <c r="C71" s="101"/>
      <c r="D71" s="101"/>
      <c r="E71" s="101"/>
      <c r="F71" s="101"/>
      <c r="G71" s="101"/>
      <c r="H71" s="101"/>
      <c r="I71" s="101"/>
      <c r="J71" s="101"/>
      <c r="K71" s="101"/>
      <c r="L71" s="101"/>
      <c r="N71" s="157"/>
      <c r="O71" s="157"/>
      <c r="P71" s="157"/>
      <c r="Q71" s="12"/>
      <c r="R71" s="12"/>
      <c r="S71" s="12"/>
      <c r="T71" s="12"/>
      <c r="U71" s="12"/>
      <c r="V71" s="12"/>
      <c r="W71" s="209"/>
      <c r="Y71" s="158" t="s">
        <v>176</v>
      </c>
      <c r="Z71" s="158">
        <v>2</v>
      </c>
      <c r="AA71" s="158">
        <v>3</v>
      </c>
      <c r="AB71" s="166">
        <v>4</v>
      </c>
      <c r="AC71" s="158">
        <v>5</v>
      </c>
      <c r="AD71" s="158">
        <v>6</v>
      </c>
      <c r="AE71" s="158">
        <v>7</v>
      </c>
      <c r="AF71" s="158">
        <v>8</v>
      </c>
      <c r="AG71" s="158">
        <v>9</v>
      </c>
      <c r="AH71" s="158"/>
      <c r="AO71" s="177"/>
      <c r="AP71" s="178"/>
    </row>
    <row r="72" spans="1:42" ht="25.2" customHeight="1">
      <c r="B72" s="101"/>
      <c r="C72" s="101"/>
      <c r="D72" s="101"/>
      <c r="E72" s="101"/>
      <c r="F72" s="101"/>
      <c r="G72" s="101"/>
      <c r="H72" s="101"/>
      <c r="I72" s="101"/>
      <c r="J72" s="101"/>
      <c r="K72" s="101"/>
      <c r="L72" s="101"/>
      <c r="N72" s="157"/>
      <c r="O72" s="157"/>
      <c r="P72" s="157"/>
      <c r="Q72" s="156"/>
      <c r="R72" s="12"/>
      <c r="S72" s="12"/>
      <c r="T72" s="12"/>
      <c r="U72" s="12"/>
      <c r="V72" s="12"/>
      <c r="W72" s="209"/>
      <c r="Y72" s="235" t="s">
        <v>177</v>
      </c>
      <c r="Z72" s="236"/>
      <c r="AA72" s="237"/>
      <c r="AB72" s="237"/>
      <c r="AC72" s="237"/>
      <c r="AD72" s="237"/>
      <c r="AE72" s="237"/>
      <c r="AF72" s="237"/>
      <c r="AG72" s="237"/>
      <c r="AH72" s="238"/>
      <c r="AO72" s="177"/>
      <c r="AP72" s="178"/>
    </row>
    <row r="73" spans="1:42" ht="25.2" customHeight="1">
      <c r="B73" s="101"/>
      <c r="C73" s="101"/>
      <c r="D73" s="101"/>
      <c r="E73" s="101"/>
      <c r="F73" s="101"/>
      <c r="G73" s="101"/>
      <c r="H73" s="101"/>
      <c r="I73" s="101"/>
      <c r="J73" s="101"/>
      <c r="K73" s="101"/>
      <c r="L73" s="101"/>
      <c r="N73" s="157"/>
      <c r="O73" s="157"/>
      <c r="P73" s="157"/>
      <c r="Q73" s="156"/>
      <c r="R73" s="12"/>
      <c r="S73" s="12"/>
      <c r="T73" s="12"/>
      <c r="U73" s="12"/>
      <c r="V73" s="12"/>
      <c r="W73" s="209"/>
      <c r="X73" s="188" t="s">
        <v>173</v>
      </c>
      <c r="Y73" s="2" t="s">
        <v>178</v>
      </c>
      <c r="Z73" s="158" t="s">
        <v>179</v>
      </c>
      <c r="AA73" s="158" t="s">
        <v>180</v>
      </c>
      <c r="AB73" s="166" t="s">
        <v>181</v>
      </c>
      <c r="AC73" s="158" t="s">
        <v>182</v>
      </c>
      <c r="AD73" s="158" t="s">
        <v>183</v>
      </c>
      <c r="AE73" s="158" t="s">
        <v>184</v>
      </c>
      <c r="AF73" s="158" t="s">
        <v>185</v>
      </c>
      <c r="AG73" s="158" t="s">
        <v>186</v>
      </c>
      <c r="AH73" s="158" t="s">
        <v>53</v>
      </c>
      <c r="AO73" s="177"/>
      <c r="AP73" s="178"/>
    </row>
    <row r="74" spans="1:42" ht="25.2" customHeight="1">
      <c r="B74" s="101"/>
      <c r="C74" s="101"/>
      <c r="D74" s="101"/>
      <c r="E74" s="101"/>
      <c r="F74" s="101"/>
      <c r="G74" s="101"/>
      <c r="H74" s="101"/>
      <c r="I74" s="101"/>
      <c r="J74" s="101"/>
      <c r="K74" s="101"/>
      <c r="L74" s="101"/>
      <c r="N74" s="157"/>
      <c r="O74" s="157"/>
      <c r="P74" s="157"/>
      <c r="Q74" s="156"/>
      <c r="R74" s="12"/>
      <c r="S74" s="12"/>
      <c r="T74" s="12"/>
      <c r="U74" s="12"/>
      <c r="V74" s="12"/>
      <c r="W74" s="209"/>
      <c r="Y74" s="158" t="s">
        <v>187</v>
      </c>
      <c r="Z74" s="158">
        <f t="shared" ref="Z74:AE74" si="0">IF($J$22&lt;&gt;"",VLOOKUP($J$22,$BD$4:$BM$104,Z$71,0),0)</f>
        <v>0</v>
      </c>
      <c r="AA74" s="158">
        <f t="shared" si="0"/>
        <v>0</v>
      </c>
      <c r="AB74" s="166">
        <f t="shared" si="0"/>
        <v>0</v>
      </c>
      <c r="AC74" s="158">
        <f t="shared" si="0"/>
        <v>0</v>
      </c>
      <c r="AD74" s="158">
        <f t="shared" si="0"/>
        <v>0</v>
      </c>
      <c r="AE74" s="158">
        <f t="shared" si="0"/>
        <v>0</v>
      </c>
      <c r="AF74" s="158">
        <f>IF($J$22&lt;&gt;"",VLOOKUP($J$22,$BD$4:$BM$104,AF$71,0)/1000,0)</f>
        <v>0</v>
      </c>
      <c r="AG74" s="158">
        <f>IF($J$22&lt;&gt;"",VLOOKUP($J$22,$BD$4:$BM$104,AG$71,0)/1000,0)</f>
        <v>0</v>
      </c>
      <c r="AH74" s="158">
        <f>IF($J$22&lt;&gt;"",100-AA74-AB74-AC74-AD74-AE74,0)</f>
        <v>0</v>
      </c>
      <c r="AO74" s="177"/>
      <c r="AP74" s="178"/>
    </row>
    <row r="75" spans="1:42" ht="25.2" customHeight="1">
      <c r="B75" s="101"/>
      <c r="C75" s="101"/>
      <c r="D75" s="101"/>
      <c r="E75" s="101"/>
      <c r="F75" s="101"/>
      <c r="G75" s="101"/>
      <c r="H75" s="101"/>
      <c r="I75" s="101"/>
      <c r="J75" s="101"/>
      <c r="K75" s="101"/>
      <c r="L75" s="101"/>
      <c r="N75" s="157"/>
      <c r="O75" s="157"/>
      <c r="P75" s="157"/>
      <c r="Q75" s="156"/>
      <c r="R75" s="12"/>
      <c r="S75" s="12"/>
      <c r="T75" s="12"/>
      <c r="U75" s="12"/>
      <c r="V75" s="12"/>
      <c r="W75" s="209"/>
      <c r="X75" s="158">
        <f>$J$22</f>
        <v>0</v>
      </c>
      <c r="Y75" s="158">
        <f>$L$22</f>
        <v>0</v>
      </c>
      <c r="Z75" s="158">
        <f t="shared" ref="Z75:AH75" si="1">Z$74*$Y$75/100</f>
        <v>0</v>
      </c>
      <c r="AA75" s="158">
        <f t="shared" si="1"/>
        <v>0</v>
      </c>
      <c r="AB75" s="166">
        <f t="shared" si="1"/>
        <v>0</v>
      </c>
      <c r="AC75" s="158">
        <f t="shared" si="1"/>
        <v>0</v>
      </c>
      <c r="AD75" s="158">
        <f t="shared" si="1"/>
        <v>0</v>
      </c>
      <c r="AE75" s="158">
        <f t="shared" si="1"/>
        <v>0</v>
      </c>
      <c r="AF75" s="158">
        <f t="shared" si="1"/>
        <v>0</v>
      </c>
      <c r="AG75" s="158">
        <f t="shared" si="1"/>
        <v>0</v>
      </c>
      <c r="AH75" s="158">
        <f t="shared" si="1"/>
        <v>0</v>
      </c>
      <c r="AO75" s="177"/>
      <c r="AP75" s="178"/>
    </row>
    <row r="76" spans="1:42" ht="25.2" customHeight="1">
      <c r="B76" s="101"/>
      <c r="C76" s="101"/>
      <c r="D76" s="101"/>
      <c r="E76" s="101"/>
      <c r="F76" s="101"/>
      <c r="G76" s="101"/>
      <c r="H76" s="101"/>
      <c r="I76" s="101"/>
      <c r="J76" s="101"/>
      <c r="K76" s="101"/>
      <c r="L76" s="101"/>
      <c r="N76" s="157"/>
      <c r="O76" s="157"/>
      <c r="P76" s="157"/>
      <c r="Q76" s="156"/>
      <c r="R76" s="12"/>
      <c r="S76" s="12"/>
      <c r="T76" s="12"/>
      <c r="U76" s="12"/>
      <c r="V76" s="12"/>
      <c r="W76" s="209"/>
      <c r="X76" s="158" t="s">
        <v>135</v>
      </c>
      <c r="Y76" s="158">
        <f>$Z$16</f>
        <v>0</v>
      </c>
      <c r="Z76" s="158">
        <f>$Y$76*$I$16/100</f>
        <v>0</v>
      </c>
      <c r="AA76" s="158">
        <f>$Y$76*$I$9/100</f>
        <v>0</v>
      </c>
      <c r="AB76" s="166">
        <f>$Y$76*$I$10/100</f>
        <v>0</v>
      </c>
      <c r="AC76" s="158">
        <f>$Y$76*$Z$11/100</f>
        <v>0</v>
      </c>
      <c r="AD76" s="158">
        <f>$Y$76*$I$12/100</f>
        <v>0</v>
      </c>
      <c r="AE76" s="158">
        <f>$Y$76*$I$11/100</f>
        <v>0</v>
      </c>
      <c r="AF76" s="158">
        <f>$Y$76*$I$18/100</f>
        <v>0</v>
      </c>
      <c r="AG76" s="158">
        <f>$Y$76*$I$19/100</f>
        <v>0</v>
      </c>
      <c r="AH76" s="158">
        <f>$Y$76*$I$13/100</f>
        <v>0</v>
      </c>
      <c r="AO76" s="177"/>
      <c r="AP76" s="178"/>
    </row>
    <row r="77" spans="1:42" ht="25.2" customHeight="1">
      <c r="B77" s="101"/>
      <c r="C77" s="101"/>
      <c r="D77" s="101"/>
      <c r="E77" s="101"/>
      <c r="F77" s="101"/>
      <c r="G77" s="101"/>
      <c r="H77" s="101"/>
      <c r="I77" s="101"/>
      <c r="J77" s="101"/>
      <c r="K77" s="101"/>
      <c r="L77" s="101"/>
      <c r="R77" s="12"/>
      <c r="S77" s="12"/>
      <c r="T77" s="12"/>
      <c r="U77" s="12"/>
      <c r="V77" s="12"/>
      <c r="X77" s="214" t="s">
        <v>188</v>
      </c>
      <c r="Y77" s="214">
        <f>$Z$17</f>
        <v>0</v>
      </c>
      <c r="Z77" s="158">
        <f>$Y$77*$K$16/100</f>
        <v>0</v>
      </c>
      <c r="AA77" s="158">
        <f>$Y$77*$K$9/100</f>
        <v>0</v>
      </c>
      <c r="AB77" s="166">
        <f>$Y$77*$K$10/100</f>
        <v>0</v>
      </c>
      <c r="AC77" s="158">
        <f>$Y$77*$Z$12/100</f>
        <v>0</v>
      </c>
      <c r="AD77" s="158">
        <f>$Y$77*$K$12/100</f>
        <v>0</v>
      </c>
      <c r="AE77" s="158">
        <f>$Y$77*$K$11/100</f>
        <v>0</v>
      </c>
      <c r="AF77" s="158">
        <f>$Y$77*$K$18/100</f>
        <v>0</v>
      </c>
      <c r="AG77" s="158">
        <f>$Y$77*$K$19/100</f>
        <v>0</v>
      </c>
      <c r="AH77" s="158">
        <f>$Y$77*$K$13/100</f>
        <v>0</v>
      </c>
      <c r="AO77" s="177"/>
      <c r="AP77" s="178"/>
    </row>
    <row r="78" spans="1:42" ht="25.2" customHeight="1">
      <c r="B78" s="101"/>
      <c r="C78" s="101"/>
      <c r="D78" s="101"/>
      <c r="E78" s="101"/>
      <c r="F78" s="101"/>
      <c r="G78" s="101"/>
      <c r="H78" s="101"/>
      <c r="I78" s="101"/>
      <c r="J78" s="101"/>
      <c r="K78" s="101"/>
      <c r="L78" s="101"/>
      <c r="R78" s="12"/>
      <c r="S78" s="12"/>
      <c r="T78" s="12"/>
      <c r="U78" s="12"/>
      <c r="V78" s="12"/>
      <c r="X78" s="158" t="s">
        <v>189</v>
      </c>
      <c r="Y78" s="214">
        <f t="shared" ref="Y78:AH78" si="2">SUM(Y75:Y77)</f>
        <v>0</v>
      </c>
      <c r="Z78" s="214">
        <f t="shared" si="2"/>
        <v>0</v>
      </c>
      <c r="AA78" s="214">
        <f t="shared" si="2"/>
        <v>0</v>
      </c>
      <c r="AB78" s="214">
        <f t="shared" si="2"/>
        <v>0</v>
      </c>
      <c r="AC78" s="214">
        <f t="shared" si="2"/>
        <v>0</v>
      </c>
      <c r="AD78" s="214">
        <f t="shared" si="2"/>
        <v>0</v>
      </c>
      <c r="AE78" s="214">
        <f t="shared" si="2"/>
        <v>0</v>
      </c>
      <c r="AF78" s="214">
        <f t="shared" si="2"/>
        <v>0</v>
      </c>
      <c r="AG78" s="214">
        <f t="shared" si="2"/>
        <v>0</v>
      </c>
      <c r="AH78" s="214">
        <f t="shared" si="2"/>
        <v>0</v>
      </c>
      <c r="AO78" s="177"/>
      <c r="AP78" s="178"/>
    </row>
    <row r="79" spans="1:42" ht="25.2" customHeight="1">
      <c r="B79" s="101"/>
      <c r="C79" s="101"/>
      <c r="D79" s="101"/>
      <c r="E79" s="101"/>
      <c r="F79" s="101"/>
      <c r="G79" s="101"/>
      <c r="H79" s="101"/>
      <c r="I79" s="101"/>
      <c r="J79" s="101"/>
      <c r="K79" s="101"/>
      <c r="L79" s="101"/>
      <c r="R79" s="12"/>
      <c r="S79" s="12"/>
      <c r="T79" s="12"/>
      <c r="U79" s="12"/>
      <c r="V79" s="12"/>
      <c r="Y79" s="210"/>
      <c r="Z79" s="188" t="s">
        <v>190</v>
      </c>
      <c r="AA79" s="158">
        <f t="shared" ref="AA79:AH79" si="3">IF($Z$21=3,AA$78*100/$Y$78,0)</f>
        <v>0</v>
      </c>
      <c r="AB79" s="166">
        <f t="shared" si="3"/>
        <v>0</v>
      </c>
      <c r="AC79" s="158">
        <f t="shared" si="3"/>
        <v>0</v>
      </c>
      <c r="AD79" s="158">
        <f t="shared" si="3"/>
        <v>0</v>
      </c>
      <c r="AE79" s="158">
        <f t="shared" si="3"/>
        <v>0</v>
      </c>
      <c r="AF79" s="158">
        <f t="shared" si="3"/>
        <v>0</v>
      </c>
      <c r="AG79" s="158">
        <f t="shared" si="3"/>
        <v>0</v>
      </c>
      <c r="AH79" s="158">
        <f t="shared" si="3"/>
        <v>0</v>
      </c>
      <c r="AO79" s="177"/>
      <c r="AP79" s="178"/>
    </row>
    <row r="80" spans="1:42" ht="25.2" customHeight="1">
      <c r="B80" s="101"/>
      <c r="C80" s="101"/>
      <c r="D80" s="101"/>
      <c r="E80" s="101"/>
      <c r="F80" s="101"/>
      <c r="G80" s="101"/>
      <c r="H80" s="101"/>
      <c r="I80" s="101"/>
      <c r="J80" s="101"/>
      <c r="K80" s="101"/>
      <c r="L80" s="101"/>
      <c r="X80" s="158" t="s">
        <v>191</v>
      </c>
      <c r="Y80" s="158">
        <f>$AA$78+$AB$78+$AC$78+$AD$78+$AE$78</f>
        <v>0</v>
      </c>
      <c r="Z80" s="188" t="s">
        <v>192</v>
      </c>
      <c r="AA80" s="158">
        <f t="shared" ref="AA80:AG80" si="4">IF($Z$21=3,AA$78*100/$Y$80,0)</f>
        <v>0</v>
      </c>
      <c r="AB80" s="166">
        <f t="shared" si="4"/>
        <v>0</v>
      </c>
      <c r="AC80" s="158">
        <f t="shared" si="4"/>
        <v>0</v>
      </c>
      <c r="AD80" s="158">
        <f t="shared" si="4"/>
        <v>0</v>
      </c>
      <c r="AE80" s="158">
        <f t="shared" si="4"/>
        <v>0</v>
      </c>
      <c r="AF80" s="158">
        <f t="shared" si="4"/>
        <v>0</v>
      </c>
      <c r="AG80" s="158">
        <f t="shared" si="4"/>
        <v>0</v>
      </c>
      <c r="AH80" s="210"/>
      <c r="AO80" s="177"/>
      <c r="AP80" s="178"/>
    </row>
    <row r="81" spans="24:42" ht="25.2" customHeight="1">
      <c r="X81" s="158" t="s">
        <v>193</v>
      </c>
      <c r="Y81" s="158">
        <f>IF($Z$21=3,$Z$78*1000/$Y$78,0)</f>
        <v>0</v>
      </c>
      <c r="Z81" s="188" t="s">
        <v>299</v>
      </c>
      <c r="AA81" s="158">
        <f>IF($Z$21=3,Z75*100/Z78,0)</f>
        <v>0</v>
      </c>
      <c r="AB81" s="210"/>
      <c r="AC81" s="210"/>
      <c r="AD81" s="210"/>
      <c r="AE81" s="210"/>
      <c r="AF81" s="158" t="s">
        <v>131</v>
      </c>
      <c r="AG81" s="158">
        <f>IF(AG78&gt;0,AF78/AG78,0)</f>
        <v>0</v>
      </c>
      <c r="AH81" s="158" t="s">
        <v>194</v>
      </c>
      <c r="AO81" s="177"/>
      <c r="AP81" s="178"/>
    </row>
    <row r="82" spans="24:42" ht="25.2" customHeight="1">
      <c r="Y82" s="210"/>
      <c r="Z82" s="210"/>
      <c r="AA82" s="210"/>
      <c r="AB82" s="210"/>
      <c r="AC82" s="210"/>
      <c r="AD82" s="210"/>
      <c r="AE82" s="210"/>
      <c r="AF82" s="210"/>
      <c r="AG82" s="210"/>
      <c r="AH82" s="158">
        <f>IF($J$22&lt;&gt;"",VLOOKUP($J$22,$BD$4:$BM$104,10,0),0)</f>
        <v>0</v>
      </c>
      <c r="AO82" s="177"/>
      <c r="AP82" s="178"/>
    </row>
    <row r="83" spans="24:42" ht="25.2" customHeight="1">
      <c r="Y83" s="215" t="s">
        <v>420</v>
      </c>
      <c r="Z83" s="211">
        <f>IF($AC$55=8,IF($Z$75&lt;$AB$35,0,-1),0)</f>
        <v>0</v>
      </c>
      <c r="AA83" s="158" t="s">
        <v>180</v>
      </c>
      <c r="AB83" s="166" t="s">
        <v>181</v>
      </c>
      <c r="AC83" s="158" t="s">
        <v>182</v>
      </c>
      <c r="AD83" s="158" t="s">
        <v>183</v>
      </c>
      <c r="AE83" s="158" t="s">
        <v>184</v>
      </c>
      <c r="AF83" s="158" t="s">
        <v>185</v>
      </c>
      <c r="AG83" s="158" t="s">
        <v>186</v>
      </c>
      <c r="AH83" s="210"/>
      <c r="AO83" s="177"/>
      <c r="AP83" s="178"/>
    </row>
    <row r="84" spans="24:42" ht="25.2" customHeight="1">
      <c r="Y84" s="210"/>
      <c r="Z84" s="188" t="s">
        <v>391</v>
      </c>
      <c r="AA84" s="158">
        <f t="shared" ref="AA84:AG84" si="5">IF($Z$21=3,ROUND(AA$78*1000/$Z$78,2),0)</f>
        <v>0</v>
      </c>
      <c r="AB84" s="166">
        <f t="shared" si="5"/>
        <v>0</v>
      </c>
      <c r="AC84" s="158">
        <f t="shared" si="5"/>
        <v>0</v>
      </c>
      <c r="AD84" s="158">
        <f t="shared" si="5"/>
        <v>0</v>
      </c>
      <c r="AE84" s="158">
        <f t="shared" si="5"/>
        <v>0</v>
      </c>
      <c r="AF84" s="158">
        <f t="shared" si="5"/>
        <v>0</v>
      </c>
      <c r="AG84" s="158">
        <f t="shared" si="5"/>
        <v>0</v>
      </c>
      <c r="AH84" s="210"/>
      <c r="AO84" s="177"/>
      <c r="AP84" s="178"/>
    </row>
    <row r="85" spans="24:42" ht="25.2" customHeight="1">
      <c r="Y85" s="215" t="s">
        <v>294</v>
      </c>
      <c r="Z85" s="211">
        <f>IF($AB$33&lt;$Z$75,-1,0)</f>
        <v>0</v>
      </c>
      <c r="AA85" s="210"/>
      <c r="AB85" s="210"/>
      <c r="AC85" s="210"/>
      <c r="AD85" s="210"/>
      <c r="AE85" s="210"/>
      <c r="AF85" s="210"/>
      <c r="AG85" s="210"/>
      <c r="AH85" s="210"/>
      <c r="AO85" s="177"/>
      <c r="AP85" s="178"/>
    </row>
    <row r="86" spans="24:42" ht="25.2" customHeight="1">
      <c r="Y86" s="210"/>
      <c r="Z86" s="210"/>
      <c r="AA86" s="210"/>
      <c r="AB86" s="210"/>
      <c r="AC86" s="210"/>
      <c r="AD86" s="210"/>
      <c r="AE86" s="210"/>
      <c r="AF86" s="210"/>
      <c r="AG86" s="210"/>
      <c r="AH86" s="210"/>
      <c r="AO86" s="177"/>
      <c r="AP86" s="178"/>
    </row>
    <row r="87" spans="24:42" ht="25.2" customHeight="1">
      <c r="AO87" s="177"/>
      <c r="AP87" s="178"/>
    </row>
    <row r="88" spans="24:42" ht="25.2" customHeight="1">
      <c r="AO88" s="177"/>
      <c r="AP88" s="178"/>
    </row>
    <row r="89" spans="24:42" ht="25.2" customHeight="1">
      <c r="AO89" s="177"/>
      <c r="AP89" s="178"/>
    </row>
    <row r="90" spans="24:42" ht="25.2" customHeight="1">
      <c r="X90" s="159" t="s">
        <v>367</v>
      </c>
      <c r="AO90" s="177"/>
      <c r="AP90" s="178"/>
    </row>
    <row r="91" spans="24:42" ht="25.2" customHeight="1">
      <c r="X91" s="225" t="s">
        <v>353</v>
      </c>
      <c r="Y91" s="225" t="s">
        <v>50</v>
      </c>
      <c r="Z91" s="225"/>
      <c r="AA91" s="225" t="s">
        <v>128</v>
      </c>
      <c r="AB91" s="225"/>
      <c r="AC91" s="225" t="s">
        <v>51</v>
      </c>
      <c r="AD91" s="225"/>
      <c r="AE91" s="225" t="s">
        <v>52</v>
      </c>
      <c r="AF91" s="225"/>
      <c r="AG91" s="225" t="s">
        <v>129</v>
      </c>
      <c r="AH91" s="225"/>
      <c r="AI91" s="225" t="s">
        <v>130</v>
      </c>
      <c r="AJ91" s="225"/>
      <c r="AK91" s="225" t="s">
        <v>131</v>
      </c>
      <c r="AL91" s="225"/>
      <c r="AO91" s="177"/>
      <c r="AP91" s="178"/>
    </row>
    <row r="92" spans="24:42" ht="25.2" customHeight="1">
      <c r="X92" s="225"/>
      <c r="Y92" s="158" t="s">
        <v>354</v>
      </c>
      <c r="Z92" s="158" t="s">
        <v>355</v>
      </c>
      <c r="AA92" s="158" t="s">
        <v>354</v>
      </c>
      <c r="AB92" s="166" t="s">
        <v>355</v>
      </c>
      <c r="AC92" s="158" t="s">
        <v>354</v>
      </c>
      <c r="AD92" s="158" t="s">
        <v>355</v>
      </c>
      <c r="AE92" s="158" t="s">
        <v>354</v>
      </c>
      <c r="AF92" s="158" t="s">
        <v>355</v>
      </c>
      <c r="AG92" s="158" t="s">
        <v>371</v>
      </c>
      <c r="AH92" s="158" t="s">
        <v>372</v>
      </c>
      <c r="AI92" s="158" t="s">
        <v>371</v>
      </c>
      <c r="AJ92" s="158" t="s">
        <v>372</v>
      </c>
      <c r="AK92" s="158" t="s">
        <v>354</v>
      </c>
      <c r="AL92" s="158" t="s">
        <v>355</v>
      </c>
      <c r="AO92" s="177"/>
      <c r="AP92" s="178"/>
    </row>
    <row r="93" spans="24:42" ht="25.2" customHeight="1">
      <c r="X93" s="158" t="str">
        <f t="shared" ref="X93:X98" si="6">$AU4</f>
        <v>Adulte</v>
      </c>
      <c r="Y93" s="158">
        <v>8</v>
      </c>
      <c r="Z93" s="158">
        <v>35</v>
      </c>
      <c r="AA93" s="158">
        <v>0</v>
      </c>
      <c r="AB93" s="166">
        <v>40</v>
      </c>
      <c r="AC93" s="158">
        <v>0.5</v>
      </c>
      <c r="AD93" s="158">
        <v>20</v>
      </c>
      <c r="AE93" s="158">
        <v>3</v>
      </c>
      <c r="AF93" s="158">
        <v>11</v>
      </c>
      <c r="AG93" s="158">
        <v>1.4</v>
      </c>
      <c r="AH93" s="158">
        <v>6</v>
      </c>
      <c r="AI93" s="158">
        <v>0.8</v>
      </c>
      <c r="AJ93" s="158">
        <v>3.5</v>
      </c>
      <c r="AK93" s="158">
        <v>0.95</v>
      </c>
      <c r="AL93" s="158">
        <v>2</v>
      </c>
      <c r="AO93" s="177"/>
      <c r="AP93" s="178"/>
    </row>
    <row r="94" spans="24:42" ht="25.2" customHeight="1">
      <c r="X94" s="158" t="str">
        <f t="shared" si="6"/>
        <v>Senior</v>
      </c>
      <c r="Y94" s="158">
        <v>8</v>
      </c>
      <c r="Z94" s="158">
        <v>35</v>
      </c>
      <c r="AA94" s="158">
        <v>0</v>
      </c>
      <c r="AB94" s="166">
        <v>40</v>
      </c>
      <c r="AC94" s="158">
        <v>0.5</v>
      </c>
      <c r="AD94" s="158">
        <v>20</v>
      </c>
      <c r="AE94" s="158">
        <v>3</v>
      </c>
      <c r="AF94" s="158">
        <v>10</v>
      </c>
      <c r="AG94" s="158">
        <v>1.2</v>
      </c>
      <c r="AH94" s="158">
        <v>6</v>
      </c>
      <c r="AI94" s="158">
        <v>0.6</v>
      </c>
      <c r="AJ94" s="158">
        <v>3.25</v>
      </c>
      <c r="AK94" s="158">
        <v>0.95</v>
      </c>
      <c r="AL94" s="158">
        <v>2.5</v>
      </c>
      <c r="AO94" s="177"/>
      <c r="AP94" s="178"/>
    </row>
    <row r="95" spans="24:42" ht="25.2" customHeight="1">
      <c r="X95" s="158" t="str">
        <f t="shared" si="6"/>
        <v xml:space="preserve">Chaton de 2 à 4 mois </v>
      </c>
      <c r="Y95" s="158">
        <v>10</v>
      </c>
      <c r="Z95" s="158">
        <v>35</v>
      </c>
      <c r="AA95" s="158">
        <v>0</v>
      </c>
      <c r="AB95" s="166">
        <v>40</v>
      </c>
      <c r="AC95" s="158">
        <v>0.5</v>
      </c>
      <c r="AD95" s="158">
        <v>20</v>
      </c>
      <c r="AE95" s="158">
        <v>3</v>
      </c>
      <c r="AF95" s="158">
        <v>10</v>
      </c>
      <c r="AG95" s="158">
        <v>2.4</v>
      </c>
      <c r="AH95" s="158">
        <v>6</v>
      </c>
      <c r="AI95" s="158">
        <v>1.7</v>
      </c>
      <c r="AJ95" s="158">
        <v>4</v>
      </c>
      <c r="AK95" s="158">
        <v>0.95</v>
      </c>
      <c r="AL95" s="158">
        <v>1.5</v>
      </c>
      <c r="AO95" s="177"/>
      <c r="AP95" s="178"/>
    </row>
    <row r="96" spans="24:42" ht="25.2" customHeight="1">
      <c r="X96" s="158" t="str">
        <f t="shared" si="6"/>
        <v xml:space="preserve">Chaton de 4 à 6 mois  </v>
      </c>
      <c r="Y96" s="158">
        <v>10</v>
      </c>
      <c r="Z96" s="158">
        <v>35</v>
      </c>
      <c r="AA96" s="158">
        <v>0</v>
      </c>
      <c r="AB96" s="166">
        <v>40</v>
      </c>
      <c r="AC96" s="158">
        <v>0.5</v>
      </c>
      <c r="AD96" s="158">
        <v>20</v>
      </c>
      <c r="AE96" s="158">
        <v>3</v>
      </c>
      <c r="AF96" s="158">
        <v>11</v>
      </c>
      <c r="AG96" s="158">
        <v>2.2000000000000002</v>
      </c>
      <c r="AH96" s="158">
        <v>6</v>
      </c>
      <c r="AI96" s="158">
        <v>1.3</v>
      </c>
      <c r="AJ96" s="158">
        <v>4</v>
      </c>
      <c r="AK96" s="158">
        <v>0.95</v>
      </c>
      <c r="AL96" s="158">
        <v>1.5</v>
      </c>
      <c r="AO96" s="177"/>
      <c r="AP96" s="178"/>
    </row>
    <row r="97" spans="24:42" ht="25.2" customHeight="1">
      <c r="X97" s="158" t="str">
        <f t="shared" si="6"/>
        <v xml:space="preserve">Chaton de 6 à 8 mois </v>
      </c>
      <c r="Y97" s="158">
        <v>10</v>
      </c>
      <c r="Z97" s="158">
        <v>35</v>
      </c>
      <c r="AA97" s="158">
        <v>0</v>
      </c>
      <c r="AB97" s="166">
        <v>40</v>
      </c>
      <c r="AC97" s="158">
        <v>0.5</v>
      </c>
      <c r="AD97" s="158">
        <v>20</v>
      </c>
      <c r="AE97" s="158">
        <v>3</v>
      </c>
      <c r="AF97" s="158">
        <v>11</v>
      </c>
      <c r="AG97" s="158">
        <v>2</v>
      </c>
      <c r="AH97" s="158">
        <v>6</v>
      </c>
      <c r="AI97" s="158">
        <v>1.1000000000000001</v>
      </c>
      <c r="AJ97" s="158">
        <v>4</v>
      </c>
      <c r="AK97" s="158">
        <v>0.95</v>
      </c>
      <c r="AL97" s="158">
        <v>1.5</v>
      </c>
      <c r="AO97" s="177"/>
      <c r="AP97" s="178"/>
    </row>
    <row r="98" spans="24:42" ht="25.2" customHeight="1">
      <c r="X98" s="158" t="str">
        <f t="shared" si="6"/>
        <v xml:space="preserve">Jeune adulte de 8 à 12 mois </v>
      </c>
      <c r="Y98" s="158">
        <v>10</v>
      </c>
      <c r="Z98" s="158">
        <v>35</v>
      </c>
      <c r="AA98" s="158">
        <v>0</v>
      </c>
      <c r="AB98" s="166">
        <v>40</v>
      </c>
      <c r="AC98" s="158">
        <v>0.5</v>
      </c>
      <c r="AD98" s="158">
        <v>20</v>
      </c>
      <c r="AE98" s="158">
        <v>3</v>
      </c>
      <c r="AF98" s="158">
        <v>11</v>
      </c>
      <c r="AG98" s="158">
        <v>1.8</v>
      </c>
      <c r="AH98" s="158">
        <v>6</v>
      </c>
      <c r="AI98" s="158">
        <v>0.9</v>
      </c>
      <c r="AJ98" s="158">
        <v>4</v>
      </c>
      <c r="AK98" s="158">
        <v>0.95</v>
      </c>
      <c r="AL98" s="158">
        <v>1.8</v>
      </c>
      <c r="AO98" s="177"/>
      <c r="AP98" s="178"/>
    </row>
    <row r="99" spans="24:42" ht="25.2" customHeight="1">
      <c r="AO99" s="177"/>
      <c r="AP99" s="178"/>
    </row>
    <row r="100" spans="24:42" ht="25.2" customHeight="1">
      <c r="X100" s="158" t="s">
        <v>360</v>
      </c>
      <c r="Y100" s="158" t="str">
        <f>$E$23</f>
        <v/>
      </c>
      <c r="Z100" s="158">
        <f>IF($Y$100&lt;0.8,0.6,IF($Y$100&lt;0.9,0.8,1))</f>
        <v>1</v>
      </c>
      <c r="AB100" s="204" t="s">
        <v>364</v>
      </c>
      <c r="AC100" s="204">
        <v>0.8</v>
      </c>
      <c r="AD100" s="188" t="str">
        <f>"-&gt;"</f>
        <v>-&gt;</v>
      </c>
      <c r="AE100" s="204">
        <f>Z98*AC100</f>
        <v>28</v>
      </c>
      <c r="AF100" s="204" t="s">
        <v>365</v>
      </c>
      <c r="AO100" s="177"/>
      <c r="AP100" s="178"/>
    </row>
    <row r="101" spans="24:42" ht="25.2" customHeight="1">
      <c r="Z101" s="158" t="s">
        <v>361</v>
      </c>
      <c r="AB101" s="204" t="s">
        <v>366</v>
      </c>
      <c r="AC101" s="204">
        <v>0.6</v>
      </c>
      <c r="AD101" s="188" t="str">
        <f>"-&gt;"</f>
        <v>-&gt;</v>
      </c>
      <c r="AE101" s="204">
        <f>Z98*AC101</f>
        <v>21</v>
      </c>
      <c r="AF101" s="204" t="s">
        <v>365</v>
      </c>
      <c r="AO101" s="177"/>
      <c r="AP101" s="178"/>
    </row>
    <row r="102" spans="24:42" ht="25.2" customHeight="1">
      <c r="X102" s="159" t="s">
        <v>368</v>
      </c>
      <c r="AO102" s="177"/>
      <c r="AP102" s="178"/>
    </row>
    <row r="103" spans="24:42" ht="25.2" customHeight="1">
      <c r="X103" s="225" t="s">
        <v>353</v>
      </c>
      <c r="Y103" s="225" t="s">
        <v>50</v>
      </c>
      <c r="Z103" s="225"/>
      <c r="AA103" s="225" t="s">
        <v>128</v>
      </c>
      <c r="AB103" s="225"/>
      <c r="AC103" s="225" t="s">
        <v>51</v>
      </c>
      <c r="AD103" s="225"/>
      <c r="AE103" s="225" t="s">
        <v>52</v>
      </c>
      <c r="AF103" s="225"/>
      <c r="AG103" s="225" t="s">
        <v>129</v>
      </c>
      <c r="AH103" s="225"/>
      <c r="AI103" s="225" t="s">
        <v>130</v>
      </c>
      <c r="AJ103" s="225"/>
      <c r="AK103" s="225" t="s">
        <v>131</v>
      </c>
      <c r="AL103" s="225"/>
      <c r="AO103" s="177"/>
      <c r="AP103" s="178"/>
    </row>
    <row r="104" spans="24:42" ht="25.2" customHeight="1">
      <c r="X104" s="225"/>
      <c r="Y104" s="158" t="s">
        <v>354</v>
      </c>
      <c r="Z104" s="158" t="s">
        <v>355</v>
      </c>
      <c r="AA104" s="158" t="s">
        <v>354</v>
      </c>
      <c r="AB104" s="166" t="s">
        <v>355</v>
      </c>
      <c r="AC104" s="158" t="s">
        <v>354</v>
      </c>
      <c r="AD104" s="158" t="s">
        <v>355</v>
      </c>
      <c r="AE104" s="158" t="s">
        <v>354</v>
      </c>
      <c r="AF104" s="158" t="s">
        <v>355</v>
      </c>
      <c r="AG104" s="158" t="s">
        <v>371</v>
      </c>
      <c r="AH104" s="158" t="s">
        <v>372</v>
      </c>
      <c r="AI104" s="158" t="s">
        <v>371</v>
      </c>
      <c r="AJ104" s="158" t="s">
        <v>372</v>
      </c>
      <c r="AK104" s="158" t="s">
        <v>354</v>
      </c>
      <c r="AL104" s="158" t="s">
        <v>355</v>
      </c>
      <c r="AO104" s="177"/>
      <c r="AP104" s="178"/>
    </row>
    <row r="105" spans="24:42" ht="25.2" customHeight="1">
      <c r="X105" s="158" t="str">
        <f t="shared" ref="X105:X110" si="7">$AU4</f>
        <v>Adulte</v>
      </c>
      <c r="Y105" s="158">
        <v>9</v>
      </c>
      <c r="Z105" s="158">
        <v>30</v>
      </c>
      <c r="AA105" s="158">
        <v>0</v>
      </c>
      <c r="AB105" s="166">
        <v>35</v>
      </c>
      <c r="AC105" s="158">
        <v>1</v>
      </c>
      <c r="AD105" s="158">
        <v>10</v>
      </c>
      <c r="AE105" s="158">
        <v>3</v>
      </c>
      <c r="AF105" s="158">
        <v>9</v>
      </c>
      <c r="AG105" s="158">
        <v>1.45</v>
      </c>
      <c r="AH105" s="158">
        <v>5</v>
      </c>
      <c r="AI105" s="158">
        <f t="shared" ref="AI105:AI110" si="8">AI93+0.1</f>
        <v>0.9</v>
      </c>
      <c r="AJ105" s="158">
        <v>3</v>
      </c>
      <c r="AK105" s="158">
        <v>1</v>
      </c>
      <c r="AL105" s="158">
        <v>1.5</v>
      </c>
      <c r="AO105" s="177"/>
      <c r="AP105" s="178"/>
    </row>
    <row r="106" spans="24:42" ht="25.2" customHeight="1">
      <c r="X106" s="158" t="str">
        <f t="shared" si="7"/>
        <v>Senior</v>
      </c>
      <c r="Y106" s="158">
        <v>9</v>
      </c>
      <c r="Z106" s="158">
        <v>30</v>
      </c>
      <c r="AA106" s="158">
        <v>0</v>
      </c>
      <c r="AB106" s="166">
        <v>35</v>
      </c>
      <c r="AC106" s="158">
        <v>1.5</v>
      </c>
      <c r="AD106" s="158">
        <v>15</v>
      </c>
      <c r="AE106" s="158">
        <v>3</v>
      </c>
      <c r="AF106" s="158">
        <v>8</v>
      </c>
      <c r="AG106" s="158">
        <v>1.25</v>
      </c>
      <c r="AH106" s="158">
        <v>5</v>
      </c>
      <c r="AI106" s="158">
        <f t="shared" si="8"/>
        <v>0.7</v>
      </c>
      <c r="AJ106" s="158">
        <v>2.5</v>
      </c>
      <c r="AK106" s="158">
        <v>1</v>
      </c>
      <c r="AL106" s="158">
        <v>2</v>
      </c>
      <c r="AO106" s="177"/>
      <c r="AP106" s="178"/>
    </row>
    <row r="107" spans="24:42" ht="25.2" customHeight="1">
      <c r="X107" s="158" t="str">
        <f t="shared" si="7"/>
        <v xml:space="preserve">Chaton de 2 à 4 mois </v>
      </c>
      <c r="Y107" s="158">
        <v>12</v>
      </c>
      <c r="Z107" s="158">
        <v>30</v>
      </c>
      <c r="AA107" s="158">
        <v>0</v>
      </c>
      <c r="AB107" s="166">
        <v>35</v>
      </c>
      <c r="AC107" s="158">
        <v>1</v>
      </c>
      <c r="AD107" s="158">
        <v>10</v>
      </c>
      <c r="AE107" s="158">
        <v>3</v>
      </c>
      <c r="AF107" s="158">
        <v>9</v>
      </c>
      <c r="AG107" s="158">
        <v>2.5499999999999998</v>
      </c>
      <c r="AH107" s="158">
        <v>5</v>
      </c>
      <c r="AI107" s="158">
        <f t="shared" si="8"/>
        <v>1.8</v>
      </c>
      <c r="AJ107" s="158">
        <v>3.5</v>
      </c>
      <c r="AK107" s="158">
        <v>1</v>
      </c>
      <c r="AL107" s="158">
        <v>1.4</v>
      </c>
      <c r="AO107" s="177"/>
      <c r="AP107" s="178"/>
    </row>
    <row r="108" spans="24:42" ht="25.2" customHeight="1">
      <c r="X108" s="158" t="str">
        <f t="shared" si="7"/>
        <v xml:space="preserve">Chaton de 4 à 6 mois  </v>
      </c>
      <c r="Y108" s="158">
        <v>12</v>
      </c>
      <c r="Z108" s="158">
        <v>30</v>
      </c>
      <c r="AA108" s="158">
        <v>0</v>
      </c>
      <c r="AB108" s="166">
        <v>35</v>
      </c>
      <c r="AC108" s="158">
        <v>1</v>
      </c>
      <c r="AD108" s="158">
        <v>10</v>
      </c>
      <c r="AE108" s="158">
        <v>3</v>
      </c>
      <c r="AF108" s="158">
        <v>9</v>
      </c>
      <c r="AG108" s="158">
        <v>2.25</v>
      </c>
      <c r="AH108" s="158">
        <v>5</v>
      </c>
      <c r="AI108" s="158">
        <f t="shared" si="8"/>
        <v>1.4000000000000001</v>
      </c>
      <c r="AJ108" s="158">
        <v>3.5</v>
      </c>
      <c r="AK108" s="158">
        <v>1</v>
      </c>
      <c r="AL108" s="158">
        <v>1.4</v>
      </c>
      <c r="AO108" s="177"/>
      <c r="AP108" s="178"/>
    </row>
    <row r="109" spans="24:42" ht="25.2" customHeight="1">
      <c r="X109" s="158" t="str">
        <f t="shared" si="7"/>
        <v xml:space="preserve">Chaton de 6 à 8 mois </v>
      </c>
      <c r="Y109" s="158">
        <v>12</v>
      </c>
      <c r="Z109" s="158">
        <v>30</v>
      </c>
      <c r="AA109" s="158">
        <v>0</v>
      </c>
      <c r="AB109" s="166">
        <v>35</v>
      </c>
      <c r="AC109" s="158">
        <v>1</v>
      </c>
      <c r="AD109" s="158">
        <v>10</v>
      </c>
      <c r="AE109" s="158">
        <v>3</v>
      </c>
      <c r="AF109" s="158">
        <v>9</v>
      </c>
      <c r="AG109" s="158">
        <v>2.0499999999999998</v>
      </c>
      <c r="AH109" s="158">
        <v>5</v>
      </c>
      <c r="AI109" s="158">
        <f t="shared" si="8"/>
        <v>1.2000000000000002</v>
      </c>
      <c r="AJ109" s="158">
        <v>3.5</v>
      </c>
      <c r="AK109" s="158">
        <v>1</v>
      </c>
      <c r="AL109" s="158">
        <v>1.4</v>
      </c>
      <c r="AO109" s="177"/>
      <c r="AP109" s="178"/>
    </row>
    <row r="110" spans="24:42" ht="25.2" customHeight="1">
      <c r="X110" s="158" t="str">
        <f t="shared" si="7"/>
        <v xml:space="preserve">Jeune adulte de 8 à 12 mois </v>
      </c>
      <c r="Y110" s="158">
        <v>12</v>
      </c>
      <c r="Z110" s="158">
        <v>30</v>
      </c>
      <c r="AA110" s="158">
        <v>0</v>
      </c>
      <c r="AB110" s="166">
        <v>35</v>
      </c>
      <c r="AC110" s="158">
        <v>1</v>
      </c>
      <c r="AD110" s="158">
        <v>10</v>
      </c>
      <c r="AE110" s="158">
        <v>3</v>
      </c>
      <c r="AF110" s="158">
        <v>9</v>
      </c>
      <c r="AG110" s="158">
        <v>1.85</v>
      </c>
      <c r="AH110" s="158">
        <v>5</v>
      </c>
      <c r="AI110" s="158">
        <f t="shared" si="8"/>
        <v>1</v>
      </c>
      <c r="AJ110" s="158">
        <v>3.5</v>
      </c>
      <c r="AK110" s="158">
        <v>1</v>
      </c>
      <c r="AL110" s="158">
        <v>1.5</v>
      </c>
      <c r="AO110" s="177"/>
      <c r="AP110" s="178"/>
    </row>
    <row r="111" spans="24:42" ht="25.2" customHeight="1">
      <c r="AO111" s="177"/>
      <c r="AP111" s="178"/>
    </row>
    <row r="112" spans="24:42" ht="25.2" customHeight="1">
      <c r="AO112" s="177"/>
      <c r="AP112" s="178"/>
    </row>
    <row r="113" spans="41:42" ht="25.2" customHeight="1">
      <c r="AO113" s="177"/>
      <c r="AP113" s="178"/>
    </row>
    <row r="114" spans="41:42" ht="25.2" customHeight="1">
      <c r="AO114" s="177"/>
      <c r="AP114" s="178"/>
    </row>
    <row r="115" spans="41:42" ht="25.2" customHeight="1">
      <c r="AO115" s="177"/>
      <c r="AP115" s="178"/>
    </row>
    <row r="116" spans="41:42" ht="25.2" customHeight="1">
      <c r="AO116" s="177"/>
      <c r="AP116" s="178"/>
    </row>
    <row r="117" spans="41:42" ht="25.2" customHeight="1">
      <c r="AO117" s="177"/>
      <c r="AP117" s="178"/>
    </row>
    <row r="118" spans="41:42" ht="25.2" customHeight="1">
      <c r="AO118" s="177"/>
      <c r="AP118" s="178"/>
    </row>
    <row r="119" spans="41:42" ht="25.2" customHeight="1">
      <c r="AO119" s="177"/>
      <c r="AP119" s="178"/>
    </row>
    <row r="120" spans="41:42" ht="25.2" customHeight="1">
      <c r="AO120" s="177"/>
      <c r="AP120" s="178"/>
    </row>
    <row r="121" spans="41:42" ht="25.2" customHeight="1">
      <c r="AO121" s="177"/>
      <c r="AP121" s="178"/>
    </row>
    <row r="122" spans="41:42" ht="25.2" customHeight="1">
      <c r="AO122" s="177"/>
      <c r="AP122" s="178"/>
    </row>
    <row r="123" spans="41:42" ht="25.2" customHeight="1">
      <c r="AO123" s="177"/>
      <c r="AP123" s="178"/>
    </row>
    <row r="124" spans="41:42" ht="25.2" customHeight="1">
      <c r="AO124" s="177"/>
      <c r="AP124" s="178"/>
    </row>
    <row r="125" spans="41:42" ht="25.2" customHeight="1">
      <c r="AO125" s="177"/>
      <c r="AP125" s="178"/>
    </row>
    <row r="126" spans="41:42" ht="25.2" customHeight="1">
      <c r="AO126" s="177"/>
      <c r="AP126" s="178"/>
    </row>
    <row r="127" spans="41:42" ht="25.2" customHeight="1">
      <c r="AO127" s="177"/>
      <c r="AP127" s="178"/>
    </row>
    <row r="128" spans="41:42" ht="25.2" customHeight="1">
      <c r="AO128" s="177"/>
      <c r="AP128" s="178"/>
    </row>
    <row r="129" spans="41:42" ht="25.2" customHeight="1">
      <c r="AO129" s="177"/>
      <c r="AP129" s="178"/>
    </row>
    <row r="130" spans="41:42" ht="25.2" customHeight="1">
      <c r="AO130" s="177"/>
      <c r="AP130" s="178"/>
    </row>
    <row r="131" spans="41:42" ht="25.2" customHeight="1">
      <c r="AO131" s="177"/>
      <c r="AP131" s="178"/>
    </row>
    <row r="132" spans="41:42" ht="25.2" customHeight="1">
      <c r="AO132" s="177"/>
      <c r="AP132" s="178"/>
    </row>
    <row r="133" spans="41:42" ht="25.2" customHeight="1">
      <c r="AO133" s="177"/>
      <c r="AP133" s="178"/>
    </row>
    <row r="134" spans="41:42" ht="25.2" customHeight="1">
      <c r="AO134" s="177"/>
      <c r="AP134" s="178"/>
    </row>
    <row r="135" spans="41:42" ht="25.2" customHeight="1">
      <c r="AO135" s="177"/>
      <c r="AP135" s="178"/>
    </row>
    <row r="136" spans="41:42" ht="25.2" customHeight="1">
      <c r="AO136" s="177"/>
      <c r="AP136" s="178"/>
    </row>
    <row r="137" spans="41:42" ht="25.2" customHeight="1">
      <c r="AO137" s="177"/>
      <c r="AP137" s="178"/>
    </row>
    <row r="138" spans="41:42" ht="25.2" customHeight="1">
      <c r="AO138" s="177"/>
      <c r="AP138" s="178"/>
    </row>
    <row r="139" spans="41:42" ht="25.2" customHeight="1">
      <c r="AO139" s="177"/>
      <c r="AP139" s="178"/>
    </row>
    <row r="140" spans="41:42" ht="25.2" customHeight="1">
      <c r="AO140" s="177"/>
      <c r="AP140" s="178"/>
    </row>
    <row r="141" spans="41:42" ht="25.2" customHeight="1">
      <c r="AO141" s="177"/>
      <c r="AP141" s="178"/>
    </row>
    <row r="142" spans="41:42" ht="25.2" customHeight="1">
      <c r="AO142" s="177"/>
      <c r="AP142" s="178"/>
    </row>
    <row r="143" spans="41:42" ht="25.2" customHeight="1">
      <c r="AO143" s="177"/>
      <c r="AP143" s="178"/>
    </row>
    <row r="144" spans="41:42" ht="25.2" customHeight="1">
      <c r="AO144" s="177"/>
      <c r="AP144" s="178"/>
    </row>
    <row r="145" spans="41:42" ht="25.2" customHeight="1">
      <c r="AO145" s="177"/>
      <c r="AP145" s="178"/>
    </row>
    <row r="146" spans="41:42" ht="25.2" customHeight="1">
      <c r="AO146" s="177"/>
      <c r="AP146" s="178"/>
    </row>
    <row r="147" spans="41:42" ht="25.2" customHeight="1">
      <c r="AO147" s="177"/>
      <c r="AP147" s="178"/>
    </row>
    <row r="148" spans="41:42" ht="25.2" customHeight="1">
      <c r="AO148" s="177"/>
      <c r="AP148" s="178"/>
    </row>
    <row r="149" spans="41:42" ht="25.2" customHeight="1">
      <c r="AO149" s="177"/>
      <c r="AP149" s="178"/>
    </row>
    <row r="150" spans="41:42" ht="25.2" customHeight="1">
      <c r="AO150" s="177"/>
      <c r="AP150" s="178"/>
    </row>
    <row r="151" spans="41:42" ht="25.2" customHeight="1">
      <c r="AO151" s="177"/>
      <c r="AP151" s="178"/>
    </row>
    <row r="152" spans="41:42" ht="25.2" customHeight="1">
      <c r="AO152" s="177"/>
      <c r="AP152" s="178"/>
    </row>
    <row r="153" spans="41:42" ht="25.2" customHeight="1">
      <c r="AO153" s="177"/>
      <c r="AP153" s="178"/>
    </row>
    <row r="154" spans="41:42" ht="25.2" customHeight="1">
      <c r="AO154" s="177"/>
      <c r="AP154" s="178"/>
    </row>
    <row r="155" spans="41:42" ht="25.2" customHeight="1">
      <c r="AO155" s="177"/>
      <c r="AP155" s="178"/>
    </row>
    <row r="156" spans="41:42" ht="25.2" customHeight="1">
      <c r="AO156" s="177"/>
      <c r="AP156" s="178"/>
    </row>
    <row r="157" spans="41:42" ht="25.2" customHeight="1">
      <c r="AO157" s="177"/>
      <c r="AP157" s="178"/>
    </row>
    <row r="158" spans="41:42" ht="25.2" customHeight="1">
      <c r="AO158" s="177"/>
      <c r="AP158" s="178"/>
    </row>
    <row r="159" spans="41:42" ht="25.2" customHeight="1">
      <c r="AO159" s="177"/>
      <c r="AP159" s="178"/>
    </row>
    <row r="160" spans="41:42" ht="25.2" customHeight="1">
      <c r="AO160" s="177"/>
      <c r="AP160" s="178"/>
    </row>
    <row r="161" spans="41:42" ht="25.2" customHeight="1">
      <c r="AO161" s="177"/>
      <c r="AP161" s="178"/>
    </row>
    <row r="162" spans="41:42" ht="25.2" customHeight="1">
      <c r="AO162" s="177"/>
      <c r="AP162" s="178"/>
    </row>
    <row r="163" spans="41:42" ht="25.2" customHeight="1">
      <c r="AO163" s="177"/>
      <c r="AP163" s="178"/>
    </row>
    <row r="164" spans="41:42" ht="25.2" customHeight="1">
      <c r="AO164" s="177"/>
      <c r="AP164" s="178"/>
    </row>
    <row r="165" spans="41:42" ht="25.2" customHeight="1">
      <c r="AO165" s="177"/>
      <c r="AP165" s="178"/>
    </row>
    <row r="166" spans="41:42" ht="25.2" customHeight="1">
      <c r="AO166" s="177"/>
      <c r="AP166" s="178"/>
    </row>
    <row r="167" spans="41:42" ht="25.2" customHeight="1">
      <c r="AO167" s="177"/>
      <c r="AP167" s="178"/>
    </row>
    <row r="168" spans="41:42" ht="25.2" customHeight="1">
      <c r="AO168" s="177"/>
      <c r="AP168" s="178"/>
    </row>
    <row r="169" spans="41:42" ht="25.2" customHeight="1">
      <c r="AO169" s="177"/>
      <c r="AP169" s="178"/>
    </row>
    <row r="170" spans="41:42" ht="25.2" customHeight="1">
      <c r="AO170" s="177"/>
      <c r="AP170" s="178"/>
    </row>
    <row r="171" spans="41:42" ht="25.2" customHeight="1">
      <c r="AO171" s="177"/>
      <c r="AP171" s="178"/>
    </row>
    <row r="172" spans="41:42" ht="25.2" customHeight="1">
      <c r="AO172" s="177"/>
      <c r="AP172" s="178"/>
    </row>
    <row r="173" spans="41:42" ht="25.2" customHeight="1">
      <c r="AO173" s="177"/>
      <c r="AP173" s="178"/>
    </row>
    <row r="174" spans="41:42" ht="25.2" customHeight="1">
      <c r="AO174" s="177"/>
      <c r="AP174" s="178"/>
    </row>
    <row r="175" spans="41:42" ht="25.2" customHeight="1">
      <c r="AO175" s="177"/>
      <c r="AP175" s="178"/>
    </row>
    <row r="176" spans="41:42" ht="25.2" customHeight="1">
      <c r="AO176" s="177"/>
      <c r="AP176" s="178"/>
    </row>
    <row r="177" spans="41:42" ht="25.2" customHeight="1">
      <c r="AO177" s="177"/>
      <c r="AP177" s="178"/>
    </row>
    <row r="178" spans="41:42" ht="25.2" customHeight="1">
      <c r="AO178" s="177"/>
      <c r="AP178" s="178"/>
    </row>
    <row r="179" spans="41:42" ht="25.2" customHeight="1">
      <c r="AO179" s="177"/>
      <c r="AP179" s="178"/>
    </row>
    <row r="180" spans="41:42" ht="25.2" customHeight="1">
      <c r="AO180" s="177"/>
      <c r="AP180" s="178"/>
    </row>
    <row r="181" spans="41:42" ht="25.2" customHeight="1">
      <c r="AO181" s="177"/>
      <c r="AP181" s="178"/>
    </row>
    <row r="182" spans="41:42" ht="25.2" customHeight="1">
      <c r="AO182" s="177"/>
      <c r="AP182" s="178"/>
    </row>
    <row r="183" spans="41:42" ht="25.2" customHeight="1">
      <c r="AO183" s="177"/>
      <c r="AP183" s="178"/>
    </row>
    <row r="184" spans="41:42" ht="25.2" customHeight="1">
      <c r="AO184" s="177"/>
      <c r="AP184" s="178"/>
    </row>
    <row r="185" spans="41:42" ht="25.2" customHeight="1">
      <c r="AO185" s="177"/>
      <c r="AP185" s="178"/>
    </row>
    <row r="186" spans="41:42" ht="25.2" customHeight="1">
      <c r="AO186" s="177"/>
      <c r="AP186" s="178"/>
    </row>
    <row r="187" spans="41:42" ht="25.2" customHeight="1">
      <c r="AO187" s="177"/>
      <c r="AP187" s="178"/>
    </row>
    <row r="188" spans="41:42" ht="25.2" customHeight="1">
      <c r="AO188" s="177"/>
      <c r="AP188" s="178"/>
    </row>
    <row r="189" spans="41:42" ht="25.2" customHeight="1">
      <c r="AO189" s="177"/>
      <c r="AP189" s="178"/>
    </row>
    <row r="190" spans="41:42" ht="25.2" customHeight="1">
      <c r="AO190" s="177"/>
      <c r="AP190" s="178"/>
    </row>
    <row r="191" spans="41:42" ht="25.2" customHeight="1">
      <c r="AO191" s="177"/>
      <c r="AP191" s="178"/>
    </row>
    <row r="192" spans="41:42" ht="25.2" customHeight="1">
      <c r="AO192" s="177"/>
      <c r="AP192" s="178"/>
    </row>
    <row r="193" spans="41:42" ht="25.2" customHeight="1">
      <c r="AO193" s="177"/>
      <c r="AP193" s="178"/>
    </row>
    <row r="194" spans="41:42" ht="25.2" customHeight="1">
      <c r="AO194" s="177"/>
      <c r="AP194" s="178"/>
    </row>
    <row r="195" spans="41:42" ht="25.2" customHeight="1">
      <c r="AO195" s="177"/>
      <c r="AP195" s="178"/>
    </row>
    <row r="196" spans="41:42" ht="25.2" customHeight="1">
      <c r="AO196" s="177"/>
      <c r="AP196" s="178"/>
    </row>
    <row r="197" spans="41:42" ht="25.2" customHeight="1">
      <c r="AO197" s="177"/>
      <c r="AP197" s="178"/>
    </row>
    <row r="198" spans="41:42" ht="25.2" customHeight="1">
      <c r="AO198" s="177"/>
      <c r="AP198" s="178"/>
    </row>
    <row r="199" spans="41:42" ht="25.2" customHeight="1">
      <c r="AO199" s="177"/>
      <c r="AP199" s="178"/>
    </row>
    <row r="200" spans="41:42" ht="25.2" customHeight="1"/>
    <row r="201" spans="41:42" ht="25.2" customHeight="1"/>
    <row r="202" spans="41:42" ht="25.2" customHeight="1"/>
    <row r="203" spans="41:42">
      <c r="AO203" s="216"/>
    </row>
  </sheetData>
  <sheetProtection algorithmName="SHA-512" hashValue="QQldJlpoD02xJ8YovUJk52oUPIImZFvHmV1uAWcYuBwlMrb1MwrlJp/HgQ6jvYoDF8IeWpzMBEpjUmZUSnU9+A==" saltValue="GzzPy4WAU9wNnQilzDaTlg==" spinCount="100000" sheet="1" objects="1" scenarios="1" selectLockedCells="1"/>
  <mergeCells count="121">
    <mergeCell ref="AI103:AJ103"/>
    <mergeCell ref="AK103:AL103"/>
    <mergeCell ref="X103:X104"/>
    <mergeCell ref="Y103:Z103"/>
    <mergeCell ref="AA103:AB103"/>
    <mergeCell ref="AC103:AD103"/>
    <mergeCell ref="AE103:AF103"/>
    <mergeCell ref="AG103:AH103"/>
    <mergeCell ref="AK91:AL91"/>
    <mergeCell ref="AC1:AE1"/>
    <mergeCell ref="AG67:AL67"/>
    <mergeCell ref="AF64:AL64"/>
    <mergeCell ref="AI60:AJ60"/>
    <mergeCell ref="Y31:AC31"/>
    <mergeCell ref="AC32:AC35"/>
    <mergeCell ref="Y37:Z37"/>
    <mergeCell ref="Y35:Z35"/>
    <mergeCell ref="AG32:AL32"/>
    <mergeCell ref="AI55:AJ55"/>
    <mergeCell ref="Y64:Z64"/>
    <mergeCell ref="J32:K32"/>
    <mergeCell ref="B2:L5"/>
    <mergeCell ref="AB24:AC24"/>
    <mergeCell ref="J22:K22"/>
    <mergeCell ref="AG34:AL34"/>
    <mergeCell ref="AI57:AJ57"/>
    <mergeCell ref="B47:C48"/>
    <mergeCell ref="Y8:Z8"/>
    <mergeCell ref="AR3:AS3"/>
    <mergeCell ref="AO3:AP3"/>
    <mergeCell ref="AF30:AL30"/>
    <mergeCell ref="AG31:AL31"/>
    <mergeCell ref="F40:L40"/>
    <mergeCell ref="AC5:AE5"/>
    <mergeCell ref="I7:J7"/>
    <mergeCell ref="K7:L7"/>
    <mergeCell ref="F19:H19"/>
    <mergeCell ref="AC6:AE6"/>
    <mergeCell ref="BD2:BM2"/>
    <mergeCell ref="AO2:AY2"/>
    <mergeCell ref="AU3:AW3"/>
    <mergeCell ref="AC2:AE2"/>
    <mergeCell ref="AI56:AJ56"/>
    <mergeCell ref="Y39:Z39"/>
    <mergeCell ref="Y33:Z33"/>
    <mergeCell ref="AB39:AC39"/>
    <mergeCell ref="AA39:AA59"/>
    <mergeCell ref="AG33:AL33"/>
    <mergeCell ref="AU40:AV40"/>
    <mergeCell ref="AR18:AS18"/>
    <mergeCell ref="AR27:AS27"/>
    <mergeCell ref="AR40:AS40"/>
    <mergeCell ref="Y36:Z36"/>
    <mergeCell ref="Y34:Z34"/>
    <mergeCell ref="Y27:AF27"/>
    <mergeCell ref="B27:D27"/>
    <mergeCell ref="F33:L33"/>
    <mergeCell ref="B28:D28"/>
    <mergeCell ref="B42:D42"/>
    <mergeCell ref="F29:I29"/>
    <mergeCell ref="F27:L27"/>
    <mergeCell ref="F28:I28"/>
    <mergeCell ref="B33:D33"/>
    <mergeCell ref="J29:K29"/>
    <mergeCell ref="B35:D36"/>
    <mergeCell ref="C23:D23"/>
    <mergeCell ref="B41:D41"/>
    <mergeCell ref="C25:D25"/>
    <mergeCell ref="F22:I22"/>
    <mergeCell ref="F25:L25"/>
    <mergeCell ref="F34:G34"/>
    <mergeCell ref="B34:D34"/>
    <mergeCell ref="B30:D32"/>
    <mergeCell ref="F32:I32"/>
    <mergeCell ref="B26:D26"/>
    <mergeCell ref="C24:D24"/>
    <mergeCell ref="B1:H1"/>
    <mergeCell ref="B7:C7"/>
    <mergeCell ref="B9:D9"/>
    <mergeCell ref="F12:H12"/>
    <mergeCell ref="C21:D21"/>
    <mergeCell ref="F9:H9"/>
    <mergeCell ref="F13:H13"/>
    <mergeCell ref="C19:D19"/>
    <mergeCell ref="F8:H8"/>
    <mergeCell ref="AC3:AE3"/>
    <mergeCell ref="AC4:AE4"/>
    <mergeCell ref="F18:H18"/>
    <mergeCell ref="F15:H15"/>
    <mergeCell ref="AC7:AE7"/>
    <mergeCell ref="C22:D22"/>
    <mergeCell ref="B16:D18"/>
    <mergeCell ref="F16:H16"/>
    <mergeCell ref="F10:H10"/>
    <mergeCell ref="F11:H11"/>
    <mergeCell ref="F20:H20"/>
    <mergeCell ref="F17:H17"/>
    <mergeCell ref="F21:L21"/>
    <mergeCell ref="C20:D20"/>
    <mergeCell ref="Y2:Z2"/>
    <mergeCell ref="F7:H7"/>
    <mergeCell ref="F14:H14"/>
    <mergeCell ref="B10:D13"/>
    <mergeCell ref="B37:D38"/>
    <mergeCell ref="B39:D40"/>
    <mergeCell ref="Y72:AH72"/>
    <mergeCell ref="F31:I31"/>
    <mergeCell ref="J31:K31"/>
    <mergeCell ref="B44:D44"/>
    <mergeCell ref="B45:D45"/>
    <mergeCell ref="K51:L51"/>
    <mergeCell ref="F30:I30"/>
    <mergeCell ref="J30:K30"/>
    <mergeCell ref="B43:D43"/>
    <mergeCell ref="AI91:AJ91"/>
    <mergeCell ref="X91:X92"/>
    <mergeCell ref="Y91:Z91"/>
    <mergeCell ref="AA91:AB91"/>
    <mergeCell ref="AC91:AD91"/>
    <mergeCell ref="AE91:AF91"/>
    <mergeCell ref="AG91:AH91"/>
  </mergeCells>
  <conditionalFormatting sqref="I20">
    <cfRule type="cellIs" dxfId="101" priority="297" stopIfTrue="1" operator="equal">
      <formula>0</formula>
    </cfRule>
  </conditionalFormatting>
  <conditionalFormatting sqref="K20">
    <cfRule type="cellIs" dxfId="100" priority="296" stopIfTrue="1" operator="equal">
      <formula>0</formula>
    </cfRule>
  </conditionalFormatting>
  <conditionalFormatting sqref="C15">
    <cfRule type="cellIs" dxfId="99" priority="279" stopIfTrue="1" operator="between">
      <formula>0.0001</formula>
      <formula>1000</formula>
    </cfRule>
  </conditionalFormatting>
  <conditionalFormatting sqref="C19:D19">
    <cfRule type="expression" dxfId="98" priority="278" stopIfTrue="1">
      <formula>$C$19&lt;&gt;""</formula>
    </cfRule>
  </conditionalFormatting>
  <conditionalFormatting sqref="C22:D22">
    <cfRule type="expression" dxfId="97" priority="275" stopIfTrue="1">
      <formula>$C$22&lt;&gt;""</formula>
    </cfRule>
  </conditionalFormatting>
  <conditionalFormatting sqref="C23:D23">
    <cfRule type="expression" dxfId="96" priority="1" stopIfTrue="1">
      <formula>$AJ$16=1</formula>
    </cfRule>
    <cfRule type="expression" dxfId="95" priority="274" stopIfTrue="1">
      <formula>$C$23&lt;&gt;""</formula>
    </cfRule>
  </conditionalFormatting>
  <conditionalFormatting sqref="C24:D24">
    <cfRule type="expression" dxfId="94" priority="273" stopIfTrue="1">
      <formula>$C$24&lt;&gt;""</formula>
    </cfRule>
  </conditionalFormatting>
  <conditionalFormatting sqref="C25:D25">
    <cfRule type="expression" dxfId="93" priority="272" stopIfTrue="1">
      <formula>$C$25&lt;&gt;""</formula>
    </cfRule>
  </conditionalFormatting>
  <conditionalFormatting sqref="L16">
    <cfRule type="cellIs" dxfId="92" priority="267" stopIfTrue="1" operator="equal">
      <formula>0</formula>
    </cfRule>
  </conditionalFormatting>
  <conditionalFormatting sqref="J16">
    <cfRule type="cellIs" dxfId="91" priority="265" stopIfTrue="1" operator="equal">
      <formula>0</formula>
    </cfRule>
  </conditionalFormatting>
  <conditionalFormatting sqref="K14">
    <cfRule type="expression" dxfId="90" priority="235" stopIfTrue="1">
      <formula>$Z$48&lt;5</formula>
    </cfRule>
    <cfRule type="expression" dxfId="89" priority="242" stopIfTrue="1">
      <formula>AD12=0</formula>
    </cfRule>
  </conditionalFormatting>
  <conditionalFormatting sqref="I14">
    <cfRule type="expression" dxfId="88" priority="234" stopIfTrue="1">
      <formula>$AC$56&lt;5</formula>
    </cfRule>
    <cfRule type="expression" dxfId="87" priority="240" stopIfTrue="1">
      <formula>AD11=0</formula>
    </cfRule>
  </conditionalFormatting>
  <conditionalFormatting sqref="I9">
    <cfRule type="expression" dxfId="86" priority="155" stopIfTrue="1">
      <formula>$AC$48=1</formula>
    </cfRule>
  </conditionalFormatting>
  <conditionalFormatting sqref="I10">
    <cfRule type="expression" dxfId="85" priority="156" stopIfTrue="1">
      <formula>$AC$49=1</formula>
    </cfRule>
  </conditionalFormatting>
  <conditionalFormatting sqref="I11">
    <cfRule type="expression" dxfId="84" priority="157" stopIfTrue="1">
      <formula>$AC$50=1</formula>
    </cfRule>
  </conditionalFormatting>
  <conditionalFormatting sqref="I12">
    <cfRule type="expression" dxfId="83" priority="158" stopIfTrue="1">
      <formula>$AC$51=1</formula>
    </cfRule>
  </conditionalFormatting>
  <conditionalFormatting sqref="I13">
    <cfRule type="expression" dxfId="82" priority="159" stopIfTrue="1">
      <formula>$AC$52=1</formula>
    </cfRule>
  </conditionalFormatting>
  <conditionalFormatting sqref="K9">
    <cfRule type="expression" dxfId="81" priority="150" stopIfTrue="1">
      <formula>$Z$43=1</formula>
    </cfRule>
  </conditionalFormatting>
  <conditionalFormatting sqref="K10">
    <cfRule type="expression" dxfId="80" priority="151" stopIfTrue="1">
      <formula>$Z$44=1</formula>
    </cfRule>
  </conditionalFormatting>
  <conditionalFormatting sqref="K11">
    <cfRule type="expression" dxfId="79" priority="152" stopIfTrue="1">
      <formula>$Z$45=1</formula>
    </cfRule>
  </conditionalFormatting>
  <conditionalFormatting sqref="K12">
    <cfRule type="expression" dxfId="78" priority="153" stopIfTrue="1">
      <formula>$Z$46=1</formula>
    </cfRule>
  </conditionalFormatting>
  <conditionalFormatting sqref="K13">
    <cfRule type="expression" dxfId="77" priority="154" stopIfTrue="1">
      <formula>$Z$47=1</formula>
    </cfRule>
  </conditionalFormatting>
  <conditionalFormatting sqref="I18">
    <cfRule type="expression" dxfId="76" priority="144" stopIfTrue="1">
      <formula>$Z$40=1</formula>
    </cfRule>
  </conditionalFormatting>
  <conditionalFormatting sqref="I19">
    <cfRule type="expression" dxfId="75" priority="145" stopIfTrue="1">
      <formula>$Z$41=1</formula>
    </cfRule>
  </conditionalFormatting>
  <conditionalFormatting sqref="K18">
    <cfRule type="expression" dxfId="74" priority="142" stopIfTrue="1">
      <formula>$Z$49=1</formula>
    </cfRule>
  </conditionalFormatting>
  <conditionalFormatting sqref="K19">
    <cfRule type="expression" dxfId="73" priority="143" stopIfTrue="1">
      <formula>$Z$50=1</formula>
    </cfRule>
  </conditionalFormatting>
  <conditionalFormatting sqref="J43">
    <cfRule type="expression" dxfId="72" priority="121" stopIfTrue="1">
      <formula>$Z$62=1</formula>
    </cfRule>
  </conditionalFormatting>
  <conditionalFormatting sqref="J42">
    <cfRule type="expression" dxfId="71" priority="119" stopIfTrue="1">
      <formula>$Z$61=1</formula>
    </cfRule>
  </conditionalFormatting>
  <conditionalFormatting sqref="F36:F37">
    <cfRule type="expression" dxfId="70" priority="101" stopIfTrue="1">
      <formula>$AG$24=2</formula>
    </cfRule>
    <cfRule type="expression" dxfId="69" priority="102" stopIfTrue="1">
      <formula>$AG$24=1</formula>
    </cfRule>
  </conditionalFormatting>
  <conditionalFormatting sqref="J36:J37">
    <cfRule type="expression" dxfId="68" priority="95" stopIfTrue="1">
      <formula>$AH$45=2</formula>
    </cfRule>
    <cfRule type="expression" dxfId="67" priority="100" stopIfTrue="1">
      <formula>$AH$45=1</formula>
    </cfRule>
  </conditionalFormatting>
  <conditionalFormatting sqref="H36:H37">
    <cfRule type="expression" dxfId="66" priority="94" stopIfTrue="1">
      <formula>$AI$45=2</formula>
    </cfRule>
    <cfRule type="expression" dxfId="65" priority="99" stopIfTrue="1">
      <formula>$AI$45=1</formula>
    </cfRule>
  </conditionalFormatting>
  <conditionalFormatting sqref="G36:G37">
    <cfRule type="expression" dxfId="64" priority="96" stopIfTrue="1">
      <formula>$AG$45=2</formula>
    </cfRule>
    <cfRule type="expression" dxfId="63" priority="98" stopIfTrue="1">
      <formula>$AG$45=1</formula>
    </cfRule>
  </conditionalFormatting>
  <conditionalFormatting sqref="I36:I37">
    <cfRule type="expression" dxfId="62" priority="93" stopIfTrue="1">
      <formula>$AJ$45=2</formula>
    </cfRule>
    <cfRule type="expression" dxfId="61" priority="97" stopIfTrue="1">
      <formula>$AJ$45=1</formula>
    </cfRule>
  </conditionalFormatting>
  <conditionalFormatting sqref="K36">
    <cfRule type="cellIs" dxfId="60" priority="88" stopIfTrue="1" operator="equal">
      <formula>0</formula>
    </cfRule>
    <cfRule type="expression" dxfId="59" priority="90" stopIfTrue="1">
      <formula>$AK$45=2</formula>
    </cfRule>
    <cfRule type="expression" dxfId="58" priority="92" stopIfTrue="1">
      <formula>$AK$45=1</formula>
    </cfRule>
  </conditionalFormatting>
  <conditionalFormatting sqref="L36">
    <cfRule type="cellIs" dxfId="57" priority="87" stopIfTrue="1" operator="equal">
      <formula>0</formula>
    </cfRule>
    <cfRule type="expression" dxfId="56" priority="89" stopIfTrue="1">
      <formula>$AL$45=2</formula>
    </cfRule>
    <cfRule type="expression" dxfId="55" priority="91" stopIfTrue="1">
      <formula>$AL$45=1</formula>
    </cfRule>
  </conditionalFormatting>
  <conditionalFormatting sqref="K37">
    <cfRule type="containsText" dxfId="54" priority="83" stopIfTrue="1" operator="containsText" text="0 (MS)">
      <formula>NOT(ISERROR(SEARCH("0 (MS)",K37)))</formula>
    </cfRule>
    <cfRule type="expression" dxfId="53" priority="84" stopIfTrue="1">
      <formula>$AK$45=2</formula>
    </cfRule>
    <cfRule type="expression" dxfId="52" priority="86" stopIfTrue="1">
      <formula>$AK$45=1</formula>
    </cfRule>
  </conditionalFormatting>
  <conditionalFormatting sqref="L37">
    <cfRule type="containsText" dxfId="51" priority="81" stopIfTrue="1" operator="containsText" text="0 (MS)">
      <formula>NOT(ISERROR(SEARCH("0 (MS)",L37)))</formula>
    </cfRule>
    <cfRule type="expression" dxfId="50" priority="82" stopIfTrue="1">
      <formula>$AL$45=2</formula>
    </cfRule>
    <cfRule type="expression" dxfId="49" priority="85" stopIfTrue="1">
      <formula>$AL$45=1</formula>
    </cfRule>
  </conditionalFormatting>
  <conditionalFormatting sqref="K34">
    <cfRule type="expression" dxfId="48" priority="77" stopIfTrue="1">
      <formula>$AL$49=2</formula>
    </cfRule>
    <cfRule type="expression" dxfId="47" priority="80" stopIfTrue="1">
      <formula>$AL$49=1</formula>
    </cfRule>
  </conditionalFormatting>
  <conditionalFormatting sqref="F33:L33">
    <cfRule type="expression" dxfId="46" priority="75" stopIfTrue="1">
      <formula>$AL$35=2</formula>
    </cfRule>
    <cfRule type="expression" dxfId="45" priority="76" stopIfTrue="1">
      <formula>$AL$35=1</formula>
    </cfRule>
  </conditionalFormatting>
  <conditionalFormatting sqref="J31">
    <cfRule type="expression" dxfId="44" priority="57" stopIfTrue="1">
      <formula>$Z$21=3</formula>
    </cfRule>
  </conditionalFormatting>
  <conditionalFormatting sqref="J30">
    <cfRule type="expression" dxfId="43" priority="56" stopIfTrue="1">
      <formula>$Z$21=3</formula>
    </cfRule>
  </conditionalFormatting>
  <conditionalFormatting sqref="J29">
    <cfRule type="expression" dxfId="42" priority="53" stopIfTrue="1">
      <formula>$Z$21=3</formula>
    </cfRule>
  </conditionalFormatting>
  <conditionalFormatting sqref="F29:I29">
    <cfRule type="expression" dxfId="41" priority="52" stopIfTrue="1">
      <formula>$Z$21=3</formula>
    </cfRule>
  </conditionalFormatting>
  <conditionalFormatting sqref="L24">
    <cfRule type="expression" dxfId="40" priority="50" stopIfTrue="1">
      <formula>$L$23=""</formula>
    </cfRule>
  </conditionalFormatting>
  <conditionalFormatting sqref="L23">
    <cfRule type="expression" dxfId="39" priority="49" stopIfTrue="1">
      <formula>$Z$59=1</formula>
    </cfRule>
  </conditionalFormatting>
  <conditionalFormatting sqref="J22:K22">
    <cfRule type="expression" dxfId="38" priority="48" stopIfTrue="1">
      <formula>$AC$64=1</formula>
    </cfRule>
  </conditionalFormatting>
  <conditionalFormatting sqref="L22">
    <cfRule type="expression" dxfId="37" priority="47" stopIfTrue="1">
      <formula>$AD$65=1</formula>
    </cfRule>
  </conditionalFormatting>
  <conditionalFormatting sqref="C29">
    <cfRule type="expression" dxfId="36" priority="46" stopIfTrue="1">
      <formula>$AC$55=8</formula>
    </cfRule>
  </conditionalFormatting>
  <conditionalFormatting sqref="H34">
    <cfRule type="expression" dxfId="35" priority="36" stopIfTrue="1">
      <formula>$AG$24=2</formula>
    </cfRule>
    <cfRule type="expression" dxfId="34" priority="43" stopIfTrue="1">
      <formula>$AG$24=1</formula>
    </cfRule>
  </conditionalFormatting>
  <conditionalFormatting sqref="J32">
    <cfRule type="expression" dxfId="33" priority="40" stopIfTrue="1">
      <formula>$AC$67=1</formula>
    </cfRule>
  </conditionalFormatting>
  <conditionalFormatting sqref="F31:I31">
    <cfRule type="expression" dxfId="32" priority="39" stopIfTrue="1">
      <formula>$Z$21=3</formula>
    </cfRule>
  </conditionalFormatting>
  <conditionalFormatting sqref="J20">
    <cfRule type="cellIs" dxfId="31" priority="9" stopIfTrue="1" operator="equal">
      <formula>0</formula>
    </cfRule>
    <cfRule type="expression" dxfId="30" priority="10" stopIfTrue="1">
      <formula>$Z$3&lt;25.01</formula>
    </cfRule>
    <cfRule type="expression" dxfId="29" priority="35" stopIfTrue="1">
      <formula>$Z$3&lt;35</formula>
    </cfRule>
  </conditionalFormatting>
  <conditionalFormatting sqref="L20">
    <cfRule type="cellIs" dxfId="28" priority="8" stopIfTrue="1" operator="equal">
      <formula>0</formula>
    </cfRule>
    <cfRule type="expression" dxfId="27" priority="34" stopIfTrue="1">
      <formula>$Z$4&lt;25.01</formula>
    </cfRule>
    <cfRule type="expression" dxfId="26" priority="37" stopIfTrue="1">
      <formula>$Z$4&lt;35</formula>
    </cfRule>
  </conditionalFormatting>
  <conditionalFormatting sqref="H23">
    <cfRule type="expression" dxfId="25" priority="33" stopIfTrue="1">
      <formula>$Z$59=1</formula>
    </cfRule>
  </conditionalFormatting>
  <conditionalFormatting sqref="D7">
    <cfRule type="cellIs" dxfId="24" priority="32" stopIfTrue="1" operator="between">
      <formula>0.0001</formula>
      <formula>1000</formula>
    </cfRule>
  </conditionalFormatting>
  <conditionalFormatting sqref="I15">
    <cfRule type="cellIs" dxfId="23" priority="31" stopIfTrue="1" operator="equal">
      <formula>0</formula>
    </cfRule>
  </conditionalFormatting>
  <conditionalFormatting sqref="K15">
    <cfRule type="cellIs" dxfId="22" priority="30" stopIfTrue="1" operator="equal">
      <formula>0</formula>
    </cfRule>
  </conditionalFormatting>
  <conditionalFormatting sqref="I16">
    <cfRule type="cellIs" dxfId="21" priority="29" stopIfTrue="1" operator="equal">
      <formula>0</formula>
    </cfRule>
  </conditionalFormatting>
  <conditionalFormatting sqref="K16">
    <cfRule type="cellIs" dxfId="20" priority="28" stopIfTrue="1" operator="equal">
      <formula>0</formula>
    </cfRule>
  </conditionalFormatting>
  <conditionalFormatting sqref="J44">
    <cfRule type="expression" dxfId="19" priority="27" stopIfTrue="1">
      <formula>$Z$63=1</formula>
    </cfRule>
  </conditionalFormatting>
  <conditionalFormatting sqref="F38">
    <cfRule type="expression" dxfId="18" priority="25" stopIfTrue="1">
      <formula>$AG$24=2</formula>
    </cfRule>
    <cfRule type="expression" dxfId="17" priority="26" stopIfTrue="1">
      <formula>$AG$24=1</formula>
    </cfRule>
  </conditionalFormatting>
  <conditionalFormatting sqref="J38">
    <cfRule type="expression" dxfId="16" priority="19" stopIfTrue="1">
      <formula>$AH$45=2</formula>
    </cfRule>
    <cfRule type="expression" dxfId="15" priority="24" stopIfTrue="1">
      <formula>$AH$45=1</formula>
    </cfRule>
  </conditionalFormatting>
  <conditionalFormatting sqref="H38">
    <cfRule type="expression" dxfId="14" priority="18" stopIfTrue="1">
      <formula>$AI$45=2</formula>
    </cfRule>
    <cfRule type="expression" dxfId="13" priority="23" stopIfTrue="1">
      <formula>$AI$45=1</formula>
    </cfRule>
  </conditionalFormatting>
  <conditionalFormatting sqref="G38">
    <cfRule type="expression" dxfId="12" priority="20" stopIfTrue="1">
      <formula>$AG$45=2</formula>
    </cfRule>
    <cfRule type="expression" dxfId="11" priority="22" stopIfTrue="1">
      <formula>$AG$45=1</formula>
    </cfRule>
  </conditionalFormatting>
  <conditionalFormatting sqref="I38">
    <cfRule type="expression" dxfId="10" priority="17" stopIfTrue="1">
      <formula>$AJ$45=2</formula>
    </cfRule>
    <cfRule type="expression" dxfId="9" priority="21" stopIfTrue="1">
      <formula>$AJ$45=1</formula>
    </cfRule>
  </conditionalFormatting>
  <conditionalFormatting sqref="K38">
    <cfRule type="containsText" dxfId="8" priority="13" stopIfTrue="1" operator="containsText" text="0 (MS)">
      <formula>NOT(ISERROR(SEARCH("0 (MS)",K38)))</formula>
    </cfRule>
    <cfRule type="expression" dxfId="7" priority="14" stopIfTrue="1">
      <formula>$AK$45=2</formula>
    </cfRule>
    <cfRule type="expression" dxfId="6" priority="16" stopIfTrue="1">
      <formula>$AK$45=1</formula>
    </cfRule>
  </conditionalFormatting>
  <conditionalFormatting sqref="L38">
    <cfRule type="containsText" dxfId="5" priority="11" stopIfTrue="1" operator="containsText" text="0 (MS)">
      <formula>NOT(ISERROR(SEARCH("0 (MS)",L38)))</formula>
    </cfRule>
    <cfRule type="expression" dxfId="4" priority="12" stopIfTrue="1">
      <formula>$AL$45=2</formula>
    </cfRule>
    <cfRule type="expression" dxfId="3" priority="15" stopIfTrue="1">
      <formula>$AL$45=1</formula>
    </cfRule>
  </conditionalFormatting>
  <conditionalFormatting sqref="C20:D20">
    <cfRule type="expression" dxfId="2" priority="5" stopIfTrue="1">
      <formula>$C$20&lt;&gt;""</formula>
    </cfRule>
  </conditionalFormatting>
  <conditionalFormatting sqref="C21:D21">
    <cfRule type="expression" dxfId="1" priority="2" stopIfTrue="1">
      <formula>$AJ$16=1</formula>
    </cfRule>
    <cfRule type="expression" dxfId="0" priority="4" stopIfTrue="1">
      <formula>$C$21&lt;&gt;""</formula>
    </cfRule>
  </conditionalFormatting>
  <dataValidations xWindow="912" yWindow="395" count="18">
    <dataValidation type="list" allowBlank="1" showErrorMessage="1" errorTitle="Erreur de saisie" error="Veuillez choisir dans la liste déroulante" promptTitle="Le facteur racial" sqref="C19:D19" xr:uid="{9F94444D-B9AF-4310-AC58-5DF6001289FD}">
      <formula1>$AO$4:$AO$50</formula1>
    </dataValidation>
    <dataValidation type="list" allowBlank="1" showErrorMessage="1" errorTitle="Erreur de saisie" error="Veuillez choisir dans la liste déroulante" promptTitle="Le facteur sanitaire" prompt="Normal (facteur 1)_x000a_Obésité (facteur 0,6)_x000a_Inactivité (facteur 0,8)_x000a_Métabolisme (facteur 0,7 ou 1,5)" sqref="C23:D23" xr:uid="{93A02672-BFBF-4992-9837-8F5FB69A9EC0}">
      <formula1>$AR$41:$AR$45</formula1>
    </dataValidation>
    <dataValidation type="list" allowBlank="1" showErrorMessage="1" errorTitle="Erreur de saisie" error="Veuillez choisir dans la liste déroulante" promptTitle="Le facteur comportemental" prompt="Très calme (facteur 0,8)_x000a_Calme (facteur 0,9)_x000a_Normal (facteur 1)_x000a_Actif/sportif (facteur 1,1)_x000a_Hyperactif/grand sportif (facteur 1,2)" sqref="C21:D21" xr:uid="{7FF6A393-F76D-48A7-A165-541F11757342}">
      <formula1>$AR$4:$AR$6</formula1>
    </dataValidation>
    <dataValidation type="list" allowBlank="1" showErrorMessage="1" errorTitle="Erreur de saisie" error="Veuillez choisir dans la liste déroulante" promptTitle="Le facteur physiologique" prompt="Adulte (facteur 1)_x000a_Stérilisé  (facteur 0,75)_x000a_Croissance (facteur 2 à 1,2)_x000a_Gestation (facteur 1 à 1,5)_x000a_Lactation (facteur 2,5 à 1,8)_x000a_Senior 2/3 de l'espérance de vie (facteur 0,85)" sqref="C20:D20" xr:uid="{8E622FCE-588F-4E1C-AB25-839EA795A3A5}">
      <formula1>$AU$4:$AU$9</formula1>
    </dataValidation>
    <dataValidation type="list" allowBlank="1" showErrorMessage="1" errorTitle="Erreur de saisie" error="Veuillez choisir dans la liste déroulante" promptTitle="Le facteur sanitaire" prompt="Normal (facteur 1)_x000a_Obésité (facteur 0,6)_x000a_Inactivité (facteur 0,8)_x000a_Métabolisme (facteur 0,7 ou 1,5)" sqref="C22:D22" xr:uid="{FD3E70B2-433F-49B1-9F1C-090A003A2AEC}">
      <formula1>$AU$41:$AU$43</formula1>
    </dataValidation>
    <dataValidation type="list" allowBlank="1" showErrorMessage="1" errorTitle="Erreur de saisie" error="Veuillez choisir dans la liste déroulante" promptTitle="Le facteur sanitaire" prompt="Normal (facteur 1)_x000a_Obésité (facteur 0,6)_x000a_Inactivité (facteur 0,8)_x000a_Métabolisme (facteur 0,7 ou 1,5)" sqref="C24:D24" xr:uid="{20204161-E673-4216-8666-22BA18E91560}">
      <formula1>$AR$28:$AR$30</formula1>
    </dataValidation>
    <dataValidation type="list" allowBlank="1" showErrorMessage="1" errorTitle="Erreur de saisie" error="Veuillez choisir dans la liste déroulante" promptTitle="Le facteur sanitaire" prompt="Normal (facteur 1)_x000a_Obésité (facteur 0,6)_x000a_Inactivité (facteur 0,8)_x000a_Métabolisme (facteur 0,7 ou 1,5)" sqref="C25:D25" xr:uid="{33ED1486-BD15-4332-A7EF-7F3EDCF5F592}">
      <formula1>$AR$19:$AR$21</formula1>
    </dataValidation>
    <dataValidation type="decimal" allowBlank="1" showErrorMessage="1" errorTitle="Erreur de saisie" error="Veuillez entrer un chiffre supérieur à 0" promptTitle="Le poids de votre chien" sqref="D7" xr:uid="{A6158B9E-0E51-4B3E-82B1-F2759B518DA9}">
      <formula1>0</formula1>
      <formula2>150</formula2>
    </dataValidation>
    <dataValidation type="whole" allowBlank="1" showErrorMessage="1" errorTitle="Erreur de saisie" error="Veuillez entrer un chiffre (pourcentage) compris entre 0 et 100" promptTitle="Le poids de votre chien" sqref="L23" xr:uid="{81B6EADC-7592-43A7-9B20-CC30B020F65D}">
      <formula1>0</formula1>
      <formula2>100</formula2>
    </dataValidation>
    <dataValidation type="decimal" allowBlank="1" showErrorMessage="1" errorTitle="Erreur de saisie" error="Veuillez entrer un chiffre compris entre 0 et 100" promptTitle="Le poids de votre chien" sqref="K9:K13 I9:I13" xr:uid="{6CE6A300-5220-4D66-8370-98DBE2E08093}">
      <formula1>0.01</formula1>
      <formula2>100</formula2>
    </dataValidation>
    <dataValidation allowBlank="1" showErrorMessage="1" sqref="AF46:AL46 I20:K20 L24 F20:F21 L28:L31 G26:L26 F12:F17 J18:J19 I14:I17 L9:L16 K14:K16 AL48 F23:F26 L18:L20 F35:L38 H34:L34 J28:J32 F28:F34 J9:J16" xr:uid="{04FE15E2-F43C-466A-8227-40D5C6ABC403}"/>
    <dataValidation type="decimal" allowBlank="1" showErrorMessage="1" errorTitle="Erreur de saisie" error="Veuillez entrer un chiffre supérieur ou égal à 0_x000a_" promptTitle="Le poids de votre chien" sqref="J39" xr:uid="{2846F420-A760-4C54-AB2D-DBAB356E43FB}">
      <formula1>0</formula1>
      <formula2>1000</formula2>
    </dataValidation>
    <dataValidation type="decimal" allowBlank="1" showErrorMessage="1" errorTitle="Erreur de saisie" error="Veuillez entrer un chiffre supérieur à 0" promptTitle="Le poids de votre chien" sqref="J42:J44" xr:uid="{263E62B6-2A82-4FAD-BC6F-4D1430FBD941}">
      <formula1>0.0001</formula1>
      <formula2>100</formula2>
    </dataValidation>
    <dataValidation type="whole" allowBlank="1" showErrorMessage="1" error="Veuillez entrer un chiffre (en grammes) supérieur à 0" sqref="L22" xr:uid="{AA6887B9-D28C-4C48-A063-180B42BA0AE7}">
      <formula1>0</formula1>
      <formula2>5000</formula2>
    </dataValidation>
    <dataValidation type="list" allowBlank="1" showErrorMessage="1" error="Merci de choisir une viande dans la liste" sqref="J22:K22" xr:uid="{08ECD957-B21D-40F0-A015-5A0E2E3DECDB}">
      <formula1>$BD$4:$BD$45</formula1>
    </dataValidation>
    <dataValidation type="decimal" allowBlank="1" showErrorMessage="1" errorTitle="Erreur de saisie" error="Veuillez entrer un chiffre compris entre 0 et 20" promptTitle="Le poids de votre chien" sqref="C15" xr:uid="{CD3AAA86-F082-47DF-90A6-F1B59BAADC09}">
      <formula1>0.0000001</formula1>
      <formula2>20</formula2>
    </dataValidation>
    <dataValidation type="decimal" allowBlank="1" showErrorMessage="1" errorTitle="Erreur de saisie" error="Veuillez entrer un chiffre compris entre 0 et 5" promptTitle="Le poids de votre chien" sqref="K18:K19 I18:I19" xr:uid="{9154356D-92C0-4663-B8EE-65CE6EA25D1B}">
      <formula1>0.01</formula1>
      <formula2>5</formula2>
    </dataValidation>
    <dataValidation type="list" showErrorMessage="1" errorTitle="Erreur de saisie" error="Veuillez spécifier un type de répartition" sqref="H23" xr:uid="{89041F6A-C6B1-4D5D-B9E0-7C2782A0B34B}">
      <formula1>$X$10:$X$11</formula1>
    </dataValidation>
  </dataValidations>
  <hyperlinks>
    <hyperlink ref="B45" r:id="rId1" xr:uid="{424E9BBB-417C-4982-BDEE-13D0D81E4C18}"/>
    <hyperlink ref="B45:D45" r:id="rId2" display="http://www.fediaf.org   https://www.facco.fr" xr:uid="{13FCF995-07D1-4D60-B839-34E1785E9309}"/>
    <hyperlink ref="B44" r:id="rId3" xr:uid="{6CDD5D68-099F-4476-AF28-F39D15034588}"/>
    <hyperlink ref="B42" r:id="rId4" display="https://www.facebook.com/ToutSavoirSurAlimentationChienChat/" xr:uid="{2E757392-3037-49F5-9FB1-5647D5BF3573}"/>
    <hyperlink ref="B42:D42" r:id="rId5" display="https://www.unegamelleautop.fr/" xr:uid="{1030BBF0-9126-480A-8377-A05AB5926809}"/>
    <hyperlink ref="K51" r:id="rId6" xr:uid="{8D814C7E-BEDA-47F6-9FEC-11AB52513A16}"/>
    <hyperlink ref="T9" r:id="rId7" xr:uid="{122BA95E-098A-4C4C-B95C-7A72D2C1CB67}"/>
  </hyperlinks>
  <pageMargins left="0.7" right="0.7" top="0.75" bottom="0.75" header="0.3" footer="0.3"/>
  <pageSetup paperSize="9" orientation="portrait" r:id="rId8"/>
  <ignoredErrors>
    <ignoredError sqref="A243:V253 E33 A33 A53 A54 A27 A29 A28 A30 M34:P34 A34 A35 L18:P18 M13:P13 L12:P12 L11:P11 L10:P10 L9:P9 A49:A50 A45:A47 A44 J19 J18 A18 A13 J12 A12 J11 A11 J10 J9 A9 M24 E25 A25:B25 E24 A24:B24 A23:B23 E22 A22:B22 A21 F20:H20 A20 E19:H19 A19:B19 A26:E26 D15:E15 A15:B15 A17 A43 A42 A41 A40 A39 A38 A37 A36 A51:A52 A10 A14:I14 A2 A3:A5 A1:P1 A6:P6 A48 A63 A55:A56 M26 A32 A31 M31:P31 A8:F8 I8:P8 A16 E16 J15 L15:P15 A62 A60 A57 M57:P57 C9:H9 A7 G7:P7 A71:A80 A64 N64:P64 N63:P63 M53:P53 M54:P54 M49:P50 M47:P47 M44:P44 M43:P43 M51:P51 M48:P48 M55:P55 P42 P41 P40 P39 P38 P37 P36 A58 M58:P58 A59 M59:P59 N60:P60 A61 N61:P61 N62:P62 E34 E35 E32 E31 A66 A99 A81 A82 M16:P16 M33:P33 M35:P35 M32:P32 K14 M14:P14 A70 A67:A68 N67:P67 A65 N65:P65 N66:P66 M30:P30 A83:A86 M29:P29 M27:P27 M28:P28 M25 M52:P52 A87:A89 E30 E29 E28 E27 M56:P56 M45:P45 M46:P46 E18:H18 E17:P17 A91 A90 A92 A93 A94 A95 A96 A97 A98 A162:V224 A100 A101 A225:V242 A102:P161 AN1:BC1 Q101:V101 Q100:V100 Q102:V161 Q98:V98 Q97:V97 Q96:V96 Q95:V95 Q94:V94 Q93:V93 Q92:V92 Q90:V90 Q91:V91 Q17 Q46:V46 Q45:V45 Q56:V56 Q87:V89 Q52:V52 R21:V21 R23:V23 Q25:V25 Q28:V28 Q27:V27 Q29:V29 Q83:V86 Q30:V30 Q66:U66 Q65:V65 Q67:V67 Q69:Q70 Q14 Q32:V32 Q35:V35 Q33:V33 Q16 Q82:V82 Q81:V81 Q99:V99 Q62:V62 Q61:V61 Q60:V60 Q59:V59 Q58:V58 Q36:V36 Q37:V37 Q38:V38 Q39:V39 Q40:V40 Q41:V41 Q42:V42 Q55:V55 Q48:V48 Q51:V51 Q43:V43 Q44:V44 Q47:V47 Q49:V50 Q54:V54 Q53:V53 Q63:V63 Q64:V64 Q80:V80 R22:V22 Q7 Q57:V57 Q15 Q8 Q31:V31 Q26:V26 Q6 Q1 Q3:Q5 Q2 Q24:V24 Q9 Q10 Q11 Q12 Q13 Q18 Q34:V34 V66 BD1:BM1 AM1 M2:P2 M3:P5 Q68 Q71:Q79 E7 G16:H16 A69 N69:P69 N68:P68 N71:P80 M99:P99 M81:P81 M82:P82 N70:P70 M83:P86 M87:P89 M91:P91 M90:P90 M92:P92 M93:P93 M94:P94 M95:P95 M96:P96 M97:P97 M98:P98 M100:P100 M101:P101 W1 AL1 AH1:AI1 Y1:AB1 AC1:AE1 AF1:AG1 AJ1:AK1 O24:P24 O25:P25 O26:P26 E10:H10 E13:H13 E12:H12 E11:H11 AZ6 AG44:AL44 AG43:AL43 AG41:AL41 AG40:AL40 AB35 AF65:AG65 AG21 AA36 AJ17:AK17 AJ16:AK16 AJ15:AK15 AG42:AL42 AG38:AL38 AG39:AL39 AB42 AB40 AB41 AB43:AC43 AB44 AB47 AA83:AG83 Z84:AG84 X102 BO20 BO19 BO21 BO30 AZ7 BO22 BO23 BO24 BO28 BO29 BO45 BO42 BO43 BO44 BO3 AZ3 AZ4 BO5 BO6 BO7 BO8 AZ9 AR44 AR43:AS43 AR42:AS42 BO41 BO40 BO39 AR45:AS45 BO27 AR29:AS29 AR28:AS28 BO38 BO49 BO50 BO46 BO47 BO48 AT24:AV24 BO37 BO36 BO10 AR5:AS5 AR23:AV23 BO26 BO31 AR22:AV22 AZ8 AR7:AS7 AR6:AS6 AR4:AS4 AR30:AS30 BO35 BO25 AR21:AV21 BO16 BO18 AT19:AV19 BO32 AT20:AV20 BO17 BO33 BO34 BO4 BO11 AZ5 AV6 BO9 X9 BO13 BO15 BO14 BO12 BO102:BO110 BO111:BO161 BO98 BO93 BO97 BO96 BO95 BO94 BO91 BO92 BO52 BO67 BO64 BO65 BO66 BO87:BO89 BO90 X16 X15 BO83:BO84 BO86 BO85 BO78:BO80 BO76:BO77 BO63 AA32 Y35 AA33:AB33 BO99 BO69 BO70 AG22 BO61:BO62 BO54 BO55:BO60 BO51 X8 X10 X11 AO36 X17 BO53 AB45:AC45 AB46 Z68 Z69 BO72:BO75 Y91:AL91 Y83 BO81 BO82 X66 BO71 BO68 X68 X90 AA81 Y92:AL92 Y98:Z98 Y94:Z94 Y95:Z95 Y96:Z96 Y97:Z97 AB93:AL93 X93:Z93 AB94:AL94 AB95:AL95 AB96:AL96 AB97:AL97 AB98:AL98 BO101 BO100 X103:AL104 BD162:BO224 BD225:BO242 BD243:BO253 W254:BO290 X2 W243:BC253 W162:W224 W225:W242 AN225:BC242 AN162:BC224 X162:AM224 X225:AM242 AG100:AM100 AG101:AM101 AA98 AA97 AA96 AA95 AA94 AA93 X100:Y100 X97 X96 X95 X94 X98 X92 Z81 X85:Z85 X86 Y70 AB68 AC71:AH71 X71:Y71 X76:X77 X78:X80 X65 AM82 AM81 X81 X83:X84 X91 X72:AH75 Y69 Z101 Y68 X82 X67 X63 X47 X50 X46 X49 X40 X41 X43 X44 X45 AM53 AM44 AM43 AM42 AM41 AM40 AM39 AM27 AM29 AM28 AM38 X34 X19 X18 X13 X12 AM49:AM50 AM46:AM48 X24 AM37 AM36 AM10 X3:X5 X6 X20 AM51 AM55:AM60 AM54 X26 X31 AM61:AM62 X57 AM45 X7 X22 X64 X53 X54 X51 X48 X55 X42 X39 X38 X37 X36 X58 X59 X60 X61 X62 AC68:AM70 X99:AM99 X33 X35 X32 X14 X69:X70 AM63 X30 AI71:AM80 AI83:AM86 AI81:AL81 AI82:AL82 X29 X27 X28 X25 X23 X21 AM15 AM16 AM18 AM19 X52 X87:X89 AI87:AM90 Y87:AH90 Y76:AH77 AM20 AM17 Z71:AB71 AA68 X56 Z70:AA70 AA69 Y86:AH86 AA85:AH85 AM33 AM34 AM65:AM66 AM64 Y82:AH82 Y81 AH81 Y78:Z80 AH78:AH80 AB81:AG81 AA78:AG80 AM14 AM24 AB69:AB70 AM23 AM22 AM21 AM35 AM30 AM67 AM52 AM92 AM91 AM94 AM95 AM96 AM97 AM93 AM98 AM31 AM32 X111:AM161 AA100 X101:Y101 AA101 AM13 AN102:BC161 AN25 AN99:BC99 AN26 AN13 AN12 AN101:BC101 W101 AN100:BC100 W100 W102:W161 AN32 AN31 AZ12:BC12 AZ14:BC14 AZ15:BC15 AZ13:BC13 BA9:BC9 AN98:BC98 W98 AN93:BC93 AN97:BC97 W97 AN96:BC96 W96 AN95:BC95 W95 AN94:BC94 W94 W93 AN91:BC91 AN92:BC92 W92 W90 W91 AN52:BC52 AN67:BC67 AN30 AN35 AN21 AN22 AN23 AT6 AT5 AT4:AV4 AZ11:BC11 BA4:BC4 AP2:BC2 AN24 AQ11:AW11 AQ12:AW12 AQ14:AW14 AQ34:BC34 AQ33:BC33 AQ17:BC17 AQ20:AS20 AQ32:BC32 AQ19:AS19 AQ18:BC18 AQ16:BC16 AQ15:AW15 AQ21 AQ25:BC25 AQ35:BC35 AQ30 AQ4 AQ6 AQ7 AQ8:AT8 AQ22 AQ31:BC31 AQ26:BC26 AQ23 AQ5 AQ10:BC10 AQ36:BC36 AQ37:BC37 AQ24:AS24 AQ46:BC48 AQ49:BC50 AQ38:BC38 AQ28 AQ29 AQ27:BC27 AQ45 AQ39:BC39 AQ40:BC40 AQ41:BC41 AQ42 AQ43 AQ44 AQ9:AT9 AQ13:AW13 W46 W45 AN11 AN14 AN64:BC64 AN65:BC66 AN34 AN33 BA8:BC8 BA7:BC7 BA6:BC6 BA5:BC5 AX4 W56 AN17 AN20 AN87:BC90 W87:W89 W52 AN19 AN18 AN16 AN15 W21 W23 W25 W28 W27 W29 AN83:BC86 W83:W86 AN71:BC80 W30 AN63:BC63 W65 W67 AN4 AN3:AY3 AN2 W32 W35 W33 AN6 AN7 AN8 AN82:BC82 W82 AN81:BC81 W81 W99 AN68:BC70 W62 W61 W60 W59 W58 W36 W37 W38 W39 W40 W41 W42 W55 W48 W51 W43 W44 W47 W49:W50 W54 W53 W63 W64 W80 W22 W57 AN61:BC62 W31 W26 AN54:BC54 AN55:BC60 AN51:BC51 AN5 AN10 AN36 AN37 W24 AN46:AN48 AN49:AN50 W34 AN38 AN28 AN29 AN27 AN45 AN39 AN40 AN41 AN42 AN43 AN44 AN9 AN53:BC53 BD53:BN53 AO9:AP9 AO44:AP44 AO43:AP43 AO42:AP42 AO41:AP41 AO40:AP40 AO39:AP39 AO45:AP45 AO27:AP27 AO29:AP29 AO28:AP28 AO38:AP38 AO49:AP50 AO46:AP48 AO37:AP37 AP36 AO10:AP10 AO5:AP5 BD51:BN51 BD55:BN60 BD54:BN54 BD61:BN62 W66 BD68:BN70 BD81:BN81 BD82:BN82 AO8:AP8 AO7:AP7 AO6:AP6 AO2 BD3:BN3 AO4:AP4 BD63:BN63 BD71:BN80 BD83:BN86 AO15:AP15 AO16:AP16 AO18:AP18 AO19:AP19 BD90:BN90 BD87:BN89 AO20:AP20 AO17:AP17 AY4 BD5:BN5 BD6:BN6 BD7:BN7 BD8:BN8 AO33:AP33 AO34:AP34 BD66:BN66 BD65:BN65 BD64:BN64 AO14:AP14 AO11:AP11 AX13:AY13 AU9:AY9 BD44:BN44 BD43:BN43 BD42:BN42 BD41:BN41 BD40:BN40 BD39:BN39 BD45:BN45 BD27:BN27 BD29:BN29 BD28:BN28 BD38:BN38 BD49:BN50 BD46:BN48 BD24:BN24 BD37:BN37 BD36:BN36 BD10:BN10 BD23:BN23 BD26:BN26 BD31:BN31 BD22:BN22 AU8:AY8 AU7:AY7 BD30:BN30 BD35:BN35 BD25:BN25 BD21:BN21 AX15:AY15 BD16:BN16 BD18:BN18 BD19:BN19 BD32:BN32 BD20:BN20 BD17:BN17 BD33:BN33 BD34:BN34 AX14:AY14 AX12:AY12 AX11:AY11 AO24:AP24 BD2:BN2 BD4:BN4 BD11:BN11 AW4 AU5:AY5 AU6 AO23:AP23 AO22:AP22 AO21:AP21 AO35:AP35 AO30:AP30 BD67:BN67 BD52:BN52 BD92:BN92 BD91:BN91 BD94:BN94 BD95:BN95 BD96:BN96 BD97:BN97 BD93:BN93 BD98:BN98 BD9:BN9 BD13:BN13 BD15:BN15 BD14:BN14 BD12:BN12 AO31:AP31 AO32:AP32 Z100 BD100:BN100 BD101:BN101 AO12:AP12 AO13:AP13 AO26:AP26 BD99:BN99 AO25:AP25 BD102:BN161 AB101:AF101 AB100:AF100 Y102:AM102 AM103:AM110 W68 W69:W70 W71:W79 AM9 AM5 AM8 AM7 AM6 AM2 AM3 AM4 AM11 AM12 Y84 Z83 AH83 AH84 W17 W14 W16 W7 W15 W8 W20 W6 W3:W5 W2 W9 W10 W11 W12 W13 W18 W19 AT42:BC42 AT43:BC43 AS44:BC44 AT45:BC45 AM26 AM25 Y3 AA65:AB65 Y66 AA62:AC62 AA61:AC61 AL12 AL11 AL4 AL3 AL2 AL6 AL7 AL8 AL5 AL9 AB5 AA24:AG24 AH7 AA14:AB14 AH67:AL67 AH45:AL45 AH34:AL34 AH33:AL33 AH13:AL13 AH12:AI12 AH32:AL32 AH31:AL31 AH52:AL52 AE52:AF52 AG30:AL30 AL35 AG23:AH23 AH22 AG20:AH20 AH24 AI21:AL21 AI22:AL22 AI23:AL23 AD67:AE67 AI24:AL24 AJ49:AK49 Y43 Y47 Y46 Y45 Y44 Y49:Y50 Y40 Y41 AE11:AI11 AE12 AD14:AL14 AG28 AC29:AG29 AD28:AE28 AA67 Y56 AA66:AB66 AC51 AA37:AB37 AC49:AC50 AC52 AC48 AB36 AA47 AA44 AA43 AA41 AA40 AA49:AB50 AC37 AA57:AC57 AA53:AC53 AA54:AC54 AA51:AB51 AA48:AB48 AA55:AC56 AA42 AA39:AC39 AA38:AC38 AA58:AC58 AA59:AC59 AC36 AA52:AB52 AD59:AE59 AD58:AE58 AD38:AE38 AD39:AE39 AD42:AE42 AD55:AE56 AD54:AE54 AD53:AE53 AD57:AE57 Z19:AA19 AA18 Z20:AA20 AA16 AA17 AB20:AF20 AB18:AF18 AB19:AF19 AG15 AG16 AG17:AH17 AH15 AH16 AH18 AH19 AI17 AI20:AL20 AB34:AE34 AB32:AF32 Z36 Y52 AI19:AL19 AI18:AL18 AI16 AI15 AA21:AF21 Y25:AL25 Y28 Y27:AH27 Y29:Z29 AE65:AE66 AB17:AF17 AA15:AF15 AC35:AE35 Z35 AD36:AE36 AE37 Z37 Y30:AE30 AD16:AF16 AA63:AL63 AH4:AI4 AH3:AI3 AH2:AI2 Y32:Z32 Y33:Z33 AD4:AE4 AD3:AE3 AI6 AI7 AB7 AA8:AI8 AE64 Y60:AE60 Y59:Z59 Y58:Z58 Y38:Z38 Y39:Z39 Y42:Z42 Y55:Z55 Y48:Z48 Y51:Z51 Y54:Z54 Y53:Z53 Y22:AF22 AF48:AK48 AF49 Y57:Z57 AD61:AL62 Y31:AF31 Y26:AL26 AH54:AL54 AK55:AL60 AA23:AF23 AD40:AE40 AD41:AE41 AD43:AE43 AD44:AE44 AD45:AE47 AE51:AL51 AE48 AE49:AE50 Y20 AL10 AD5:AE5 AH28 AH29 AF47:AJ47 AF45 AF44 AI27 AF43 AF42 AF41 AF40 AF39 AF38 AF37:AL37 AF36:AL36 AF50:AL50 AF53 AC2:AE2 AH5:AI5 AA2:AB2 Y24 Y18:Z18 Y19 Y34:Z34 AI28:AL28 AI29:AL29 AJ27:AL27 AB6:AG6 AA3:AB4 AA9:AI9 AA10:AI10 AA11:AC11 AA12:AB12 AA13:AE13 AH53:AL53 AC14 Y12:Z12 AC12:AD12 Y11:Z11 AD11 Y10:Z10 Y9:Z9 Y8:Z8 Y4 AC4 AH6 Z28:AC28 AF30 AA29:AB29 AA34 Y21 Z52 Y37 Y36 Y2:Z2 AF2:AG2 AC5 AC7:AE7 AG53 AG45 AD48 AD51 AF46:AJ46 Y23 Y63 Z56 Y62 AF60:AJ60 Y67:Z67 Y64:AD64 Y61 AF64:AL64 AC3 AF3:AG3 AF4:AG4 AF33 AA35 AF35:AK35 Y65 AF66:AL66 AH21 AF34 AG19 AG18 AB16 AF57:AJ57 AF54:AG54 AF56:AJ56 AF55:AJ55 AF58:AJ58 AF59:AJ59 AD52 AD37 AD49 AD50 AC65:AD66 AB67:AC67 AF28 Z41 Z40 Z49 Z50 Z44 Z45 Z46 Z47 Z43 AL49 AF67 AG52 AG67 AG31 Z66 AG49:AI49 Y17:Z17 Y16:Z16 AC16 AG34 Z21 Z65 AG33 Y6:AA6 Z4 AJ4:AK4 Z3 AJ3:AK3 Z63 Z61 Z62 AG32 Z23 AK46:AL46 AL48 Y13:Z13 Y7:AA7 AF7:AG7 Y5:AA5 AF5:AG5 AJ2:AK2 AJ6:AK6 AJ8:AK8 AJ9:AK9 AJ10:AK10 AJ11:AK11 AF12:AG12 Y15:Z15 Y14:Z14 AF13:AG13 Z24 AJ5:AK5 AK47:AL47 AJ7:AK7 AJ12:AK12 AW23:BC23 BA3:BC3 AL17 AL16 AL15 AC41 AC40 AC42 AC44 AA45 AA46 AC46 AC47 AH65:AL65 AC33:AE33 AW6:AY6 AT7 AT30:BC30 AT28:BC28 AT29:BC29 AW21:BC21 AW22:BC22 AW20:BC20 AW19:BC19 AW24:BC24 BP24 BP19 BP20 BP22 BP21 BP29 BP28 BP30 BP3 BP23 BP45 BP44 BP43 BP42 BP111:BP161 BP103:BP110 BP102 BP99 BP101 BP100 BP12 BP14 BP15 BP13 BP9 BP98 BP93 BP97 BP96 BP95 BP94 BP91 BP92 BP52 BP67 BP11 BP4 BO2 BP34 BP33 BP17 BP32 BP18 BP16 BP25 BP35 BP31 BP26 BP10 BP36 BP37 BP47 BP48 BP46 BP49 BP50 BP38 BP27 BP39 BP40 BP41 BP64 BP65 BP66 BP8 BP7 BP6 BP5 BP87:BP89 BP90 BP86 BP84 BP83 BP80 BP78:BP79 BP63 BP82 BP81 BP68 BP69 BP62 BP61 BP54 BP59 BP58 BP55 BP56 BP57 BP60 BP51 BP53 W291:BP393 BP225:BP242 BP162:BP224 BP243:BP253 BP254:BP290 BP71 BP72:BP75 BP70 BP76:BP77 BP85 X110:AA110 X105:AA105 AC105:AL105 X106:AA106 AC106:AL106 X107:AA107 AC107:AL107 X108:AA108 AC108:AL108 X109:AA109 AC109:AL109 AC110:AL110" evalError="1"/>
  </ignoredError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CHAT - Unegamelleautop.fr</vt:lpstr>
    </vt:vector>
  </TitlesOfParts>
  <LinksUpToDate>false</LinksUpToDate>
  <SharedDoc>false</SharedDoc>
  <HyperlinkBase>https://www.facebook.com/groups/CroquettesCommentChoisir/</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Damien Dehon</cp:lastModifiedBy>
  <cp:lastPrinted>2016-12-27T10:50:24Z</cp:lastPrinted>
  <dcterms:created xsi:type="dcterms:W3CDTF">2016-08-18T09:44:54Z</dcterms:created>
  <dcterms:modified xsi:type="dcterms:W3CDTF">2025-01-02T16:11:34Z</dcterms:modified>
</cp:coreProperties>
</file>